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omments44.xml" ContentType="application/vnd.openxmlformats-officedocument.spreadsheetml.comments+xml"/>
  <Override PartName="/xl/comments45.xml" ContentType="application/vnd.openxmlformats-officedocument.spreadsheetml.comments+xml"/>
  <Override PartName="/xl/comments46.xml" ContentType="application/vnd.openxmlformats-officedocument.spreadsheetml.comments+xml"/>
  <Override PartName="/xl/comments47.xml" ContentType="application/vnd.openxmlformats-officedocument.spreadsheetml.comments+xml"/>
  <Override PartName="/xl/comments48.xml" ContentType="application/vnd.openxmlformats-officedocument.spreadsheetml.comments+xml"/>
  <Override PartName="/xl/comments49.xml" ContentType="application/vnd.openxmlformats-officedocument.spreadsheetml.comments+xml"/>
  <Override PartName="/xl/comments50.xml" ContentType="application/vnd.openxmlformats-officedocument.spreadsheetml.comments+xml"/>
  <Override PartName="/xl/comments51.xml" ContentType="application/vnd.openxmlformats-officedocument.spreadsheetml.comments+xml"/>
  <Override PartName="/xl/comments52.xml" ContentType="application/vnd.openxmlformats-officedocument.spreadsheetml.comments+xml"/>
  <Override PartName="/xl/comments53.xml" ContentType="application/vnd.openxmlformats-officedocument.spreadsheetml.comments+xml"/>
  <Override PartName="/xl/comments54.xml" ContentType="application/vnd.openxmlformats-officedocument.spreadsheetml.comments+xml"/>
  <Override PartName="/xl/comments55.xml" ContentType="application/vnd.openxmlformats-officedocument.spreadsheetml.comments+xml"/>
  <Override PartName="/xl/comments56.xml" ContentType="application/vnd.openxmlformats-officedocument.spreadsheetml.comments+xml"/>
  <Override PartName="/xl/comments57.xml" ContentType="application/vnd.openxmlformats-officedocument.spreadsheetml.comments+xml"/>
  <Override PartName="/xl/comments58.xml" ContentType="application/vnd.openxmlformats-officedocument.spreadsheetml.comments+xml"/>
  <Override PartName="/xl/comments59.xml" ContentType="application/vnd.openxmlformats-officedocument.spreadsheetml.comments+xml"/>
  <Override PartName="/xl/comments60.xml" ContentType="application/vnd.openxmlformats-officedocument.spreadsheetml.comments+xml"/>
  <Override PartName="/xl/comments61.xml" ContentType="application/vnd.openxmlformats-officedocument.spreadsheetml.comments+xml"/>
  <Override PartName="/xl/comments62.xml" ContentType="application/vnd.openxmlformats-officedocument.spreadsheetml.comments+xml"/>
  <Override PartName="/xl/comments63.xml" ContentType="application/vnd.openxmlformats-officedocument.spreadsheetml.comments+xml"/>
  <Override PartName="/xl/comments64.xml" ContentType="application/vnd.openxmlformats-officedocument.spreadsheetml.comments+xml"/>
  <Override PartName="/xl/comments65.xml" ContentType="application/vnd.openxmlformats-officedocument.spreadsheetml.comments+xml"/>
  <Override PartName="/xl/comments66.xml" ContentType="application/vnd.openxmlformats-officedocument.spreadsheetml.comments+xml"/>
  <Override PartName="/xl/comments67.xml" ContentType="application/vnd.openxmlformats-officedocument.spreadsheetml.comments+xml"/>
  <Override PartName="/xl/comments68.xml" ContentType="application/vnd.openxmlformats-officedocument.spreadsheetml.comments+xml"/>
  <Override PartName="/xl/comments69.xml" ContentType="application/vnd.openxmlformats-officedocument.spreadsheetml.comments+xml"/>
  <Override PartName="/xl/comments70.xml" ContentType="application/vnd.openxmlformats-officedocument.spreadsheetml.comments+xml"/>
  <Override PartName="/xl/comments71.xml" ContentType="application/vnd.openxmlformats-officedocument.spreadsheetml.comments+xml"/>
  <Override PartName="/xl/comments72.xml" ContentType="application/vnd.openxmlformats-officedocument.spreadsheetml.comments+xml"/>
  <Override PartName="/xl/comments73.xml" ContentType="application/vnd.openxmlformats-officedocument.spreadsheetml.comments+xml"/>
  <Override PartName="/xl/comments74.xml" ContentType="application/vnd.openxmlformats-officedocument.spreadsheetml.comments+xml"/>
  <Override PartName="/xl/comments75.xml" ContentType="application/vnd.openxmlformats-officedocument.spreadsheetml.comments+xml"/>
  <Override PartName="/xl/comments76.xml" ContentType="application/vnd.openxmlformats-officedocument.spreadsheetml.comments+xml"/>
  <Override PartName="/xl/comments7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 tabRatio="908" firstSheet="54" activeTab="61"/>
  </bookViews>
  <sheets>
    <sheet name="Formularz Oferty" sheetId="1" r:id="rId1"/>
    <sheet name="Zadanie nr 1" sheetId="2" r:id="rId2"/>
    <sheet name="Zadanie nr 2" sheetId="3" r:id="rId3"/>
    <sheet name="Zadanie nr 3" sheetId="4" r:id="rId4"/>
    <sheet name="Zadanie nr 4" sheetId="5" r:id="rId5"/>
    <sheet name="Zadanie nr 5" sheetId="6" r:id="rId6"/>
    <sheet name="Zadanie nr 6" sheetId="7" r:id="rId7"/>
    <sheet name="Zadanie nr 7" sheetId="8" r:id="rId8"/>
    <sheet name="Zadanie nr 8" sheetId="11" r:id="rId9"/>
    <sheet name="Zadanie nr 9" sheetId="12" r:id="rId10"/>
    <sheet name="Zadanie nr 10" sheetId="13" r:id="rId11"/>
    <sheet name="Zadanie nr 11" sheetId="14" r:id="rId12"/>
    <sheet name="Zadanie nr 12" sheetId="37" r:id="rId13"/>
    <sheet name="Zadanie nr 13" sheetId="15" r:id="rId14"/>
    <sheet name="Zadanie nr 14" sheetId="18" r:id="rId15"/>
    <sheet name="Zadanie nr 15" sheetId="19" r:id="rId16"/>
    <sheet name="Zadanie nr 16" sheetId="20" r:id="rId17"/>
    <sheet name="Zadanie nr 17" sheetId="21" r:id="rId18"/>
    <sheet name="Zadanie nr 18" sheetId="23" r:id="rId19"/>
    <sheet name="Zadanie nr 19" sheetId="27" r:id="rId20"/>
    <sheet name="Zadanie nr 20" sheetId="30" r:id="rId21"/>
    <sheet name="Zadanie nr 21" sheetId="34" r:id="rId22"/>
    <sheet name="Zadanie nr 22" sheetId="33" r:id="rId23"/>
    <sheet name="Zadanie nr 23" sheetId="35" r:id="rId24"/>
    <sheet name="Zadanie nr 24" sheetId="36" r:id="rId25"/>
    <sheet name="Zadanie nr 25" sheetId="29" r:id="rId26"/>
    <sheet name="Zadanie nr 26" sheetId="39" r:id="rId27"/>
    <sheet name="Zadanie nr 27" sheetId="40" r:id="rId28"/>
    <sheet name="Zadanie nr 28" sheetId="41" r:id="rId29"/>
    <sheet name="Zadanie nr 29" sheetId="42" r:id="rId30"/>
    <sheet name="Zadanie nr 30" sheetId="43" r:id="rId31"/>
    <sheet name="Zadanie nr 31" sheetId="47" r:id="rId32"/>
    <sheet name="Zadanie nr 32" sheetId="48" r:id="rId33"/>
    <sheet name="Zadanie nr 33" sheetId="49" r:id="rId34"/>
    <sheet name="Zadanie nr 34" sheetId="51" r:id="rId35"/>
    <sheet name="Zadanie nr 35" sheetId="53" r:id="rId36"/>
    <sheet name="Zadanie nr 36" sheetId="46" r:id="rId37"/>
    <sheet name="Zadanie nr 37" sheetId="54" r:id="rId38"/>
    <sheet name="Zadanie nr 38" sheetId="52" r:id="rId39"/>
    <sheet name="Zadanie nr 39" sheetId="55" r:id="rId40"/>
    <sheet name="Zadanie nr 40" sheetId="56" r:id="rId41"/>
    <sheet name="Zadanie nr 41" sheetId="57" r:id="rId42"/>
    <sheet name="Zadanie nr 42" sheetId="58" r:id="rId43"/>
    <sheet name="Zadanie nr 43" sheetId="59" r:id="rId44"/>
    <sheet name="Zadanie nr 44" sheetId="60" r:id="rId45"/>
    <sheet name="Zadanie nr 45" sheetId="62" r:id="rId46"/>
    <sheet name="Zadanie nr 46" sheetId="64" r:id="rId47"/>
    <sheet name="Zadanie nr 47" sheetId="63" r:id="rId48"/>
    <sheet name="Zadanie nr 48" sheetId="68" r:id="rId49"/>
    <sheet name="Zadanie nr 49" sheetId="70" r:id="rId50"/>
    <sheet name="Zadanie nr 50" sheetId="71" r:id="rId51"/>
    <sheet name="Zadanie nr 51" sheetId="69" r:id="rId52"/>
    <sheet name="Zadanie nr 52" sheetId="75" r:id="rId53"/>
    <sheet name="Zadanie nr 53" sheetId="76" r:id="rId54"/>
    <sheet name="Zadanie nr 54" sheetId="78" r:id="rId55"/>
    <sheet name="Zadanie nr 55" sheetId="79" r:id="rId56"/>
    <sheet name="Zadanie nr 56" sheetId="82" r:id="rId57"/>
    <sheet name="Zadanie nr 57" sheetId="83" r:id="rId58"/>
    <sheet name="Zadanie nr 58" sheetId="86" r:id="rId59"/>
    <sheet name="Zadanie nr 59" sheetId="87" r:id="rId60"/>
    <sheet name="Zadanie nr 60" sheetId="88" r:id="rId61"/>
    <sheet name="Zadanie nr 61" sheetId="89" r:id="rId62"/>
    <sheet name="Zadanie nr 62" sheetId="90" r:id="rId63"/>
    <sheet name="Zadanie nr 63" sheetId="91" r:id="rId64"/>
    <sheet name="Zadanie nr 64" sheetId="92" r:id="rId65"/>
    <sheet name="Zadanie nr 65" sheetId="93" r:id="rId66"/>
    <sheet name="Zadanie nr 66" sheetId="94" r:id="rId67"/>
    <sheet name="Zadanie nr 67" sheetId="95" r:id="rId68"/>
    <sheet name="Zadanie nr 68" sheetId="96" r:id="rId69"/>
    <sheet name="Zadanie nr 69" sheetId="97" r:id="rId70"/>
    <sheet name="Zadanie nr 70" sheetId="98" r:id="rId71"/>
    <sheet name="Zadanie nr 71" sheetId="99" r:id="rId72"/>
    <sheet name="Zadanie nr 72" sheetId="100" r:id="rId73"/>
    <sheet name="Zadanie nr 73" sheetId="101" r:id="rId74"/>
    <sheet name="Zadanie nr 74" sheetId="102" r:id="rId75"/>
    <sheet name="Zadanie nr 75" sheetId="103" r:id="rId76"/>
    <sheet name="Zadanie nr 76" sheetId="104" r:id="rId77"/>
    <sheet name="Arkusz1" sheetId="80" r:id="rId78"/>
  </sheets>
  <definedNames>
    <definedName name="Print_Area" localSheetId="0">'Formularz Oferty'!$A$1:$H$100</definedName>
    <definedName name="Print_Area" localSheetId="1">'Zadanie nr 1'!$A$1:$K$24</definedName>
    <definedName name="Print_Area" localSheetId="10">'Zadanie nr 10'!$A$1:$K$16</definedName>
    <definedName name="Print_Area" localSheetId="11">'Zadanie nr 11'!$A$1:$K$19</definedName>
    <definedName name="Print_Area" localSheetId="12">'Zadanie nr 12'!$A$1:$K$17</definedName>
    <definedName name="Print_Area" localSheetId="13">'Zadanie nr 13'!$A$1:$K$26</definedName>
    <definedName name="Print_Area" localSheetId="14">'Zadanie nr 14'!$A$1:$K$15</definedName>
    <definedName name="Print_Area" localSheetId="15">'Zadanie nr 15'!$A$1:$K$17</definedName>
    <definedName name="Print_Area" localSheetId="16">'Zadanie nr 16'!$A$1:$K$32</definedName>
    <definedName name="Print_Area" localSheetId="17">'Zadanie nr 17'!$A$1:$K$22</definedName>
    <definedName name="Print_Area" localSheetId="18">'Zadanie nr 18'!$A$1:$K$36</definedName>
    <definedName name="Print_Area" localSheetId="19">'Zadanie nr 19'!$A$1:$K$27</definedName>
    <definedName name="Print_Area" localSheetId="2">'Zadanie nr 2'!$A$1:$K$19</definedName>
    <definedName name="Print_Area" localSheetId="20">'Zadanie nr 20'!$A$1:$K$18</definedName>
    <definedName name="Print_Area" localSheetId="21">'Zadanie nr 21'!$A$1:$K$35</definedName>
    <definedName name="Print_Area" localSheetId="22">'Zadanie nr 22'!$A$1:$K$20</definedName>
    <definedName name="Print_Area" localSheetId="23">'Zadanie nr 23'!$A$1:$K$17</definedName>
    <definedName name="Print_Area" localSheetId="24">'Zadanie nr 24'!$A$1:$K$20</definedName>
    <definedName name="Print_Area" localSheetId="25">'Zadanie nr 25'!$A$1:$K$22</definedName>
    <definedName name="Print_Area" localSheetId="26">'Zadanie nr 26'!$A$1:$K$20</definedName>
    <definedName name="Print_Area" localSheetId="27">'Zadanie nr 27'!$A$1:$K$17</definedName>
    <definedName name="Print_Area" localSheetId="28">'Zadanie nr 28'!$A$1:$K$17</definedName>
    <definedName name="Print_Area" localSheetId="29">'Zadanie nr 29'!$A$1:$K$19</definedName>
    <definedName name="Print_Area" localSheetId="3">'Zadanie nr 3'!$A$1:$K$19</definedName>
    <definedName name="Print_Area" localSheetId="30">'Zadanie nr 30'!$A$1:$K$23</definedName>
    <definedName name="Print_Area" localSheetId="31">'Zadanie nr 31'!$A$1:$K$15</definedName>
    <definedName name="Print_Area" localSheetId="32">'Zadanie nr 32'!$A$1:$K$15</definedName>
    <definedName name="Print_Area" localSheetId="33">'Zadanie nr 33'!$A$1:$K$19</definedName>
    <definedName name="Print_Area" localSheetId="34">'Zadanie nr 34'!$A$1:$K$15</definedName>
    <definedName name="Print_Area" localSheetId="38">'Zadanie nr 38'!$A$1:$K$16</definedName>
    <definedName name="Print_Area" localSheetId="4">'Zadanie nr 4'!$A$1:$K$24</definedName>
    <definedName name="Print_Area" localSheetId="5">'Zadanie nr 5'!$A$1:$K$33</definedName>
    <definedName name="Print_Area" localSheetId="6">'Zadanie nr 6'!$A$1:$K$17</definedName>
    <definedName name="Print_Area" localSheetId="7">'Zadanie nr 7'!$A$1:$K$18</definedName>
    <definedName name="Print_Area" localSheetId="8">'Zadanie nr 8'!$A$1:$K$17</definedName>
    <definedName name="Print_Area" localSheetId="9">'Zadanie nr 9'!$A$1:$K$17</definedName>
  </definedNames>
  <calcPr calcId="144525"/>
</workbook>
</file>

<file path=xl/calcChain.xml><?xml version="1.0" encoding="utf-8"?>
<calcChain xmlns="http://schemas.openxmlformats.org/spreadsheetml/2006/main">
  <c r="E10" i="34" l="1"/>
  <c r="C15" i="104"/>
  <c r="C94" i="1"/>
  <c r="B94" i="1"/>
  <c r="C93" i="1"/>
  <c r="E10" i="104"/>
  <c r="E9" i="104"/>
  <c r="C16" i="103"/>
  <c r="E11" i="103"/>
  <c r="C11" i="103"/>
  <c r="B11" i="103"/>
  <c r="E10" i="103"/>
  <c r="C10" i="103"/>
  <c r="B10" i="103"/>
  <c r="E9" i="103"/>
  <c r="C9" i="103"/>
  <c r="B9" i="103"/>
  <c r="C14" i="102"/>
  <c r="C17" i="101"/>
  <c r="C15" i="100"/>
  <c r="B9" i="99"/>
  <c r="C9" i="99"/>
  <c r="E9" i="99"/>
  <c r="B10" i="99"/>
  <c r="C10" i="99"/>
  <c r="E10" i="99"/>
  <c r="C15" i="99"/>
  <c r="C15" i="98"/>
  <c r="C17" i="97"/>
  <c r="C14" i="96"/>
  <c r="C15" i="95"/>
  <c r="C16" i="94"/>
  <c r="C14" i="93"/>
  <c r="C18" i="92"/>
  <c r="C14" i="91"/>
  <c r="C14" i="90"/>
  <c r="C14" i="89"/>
  <c r="B9" i="83"/>
  <c r="D9" i="83"/>
  <c r="E9" i="83"/>
  <c r="B10" i="83"/>
  <c r="C10" i="83"/>
  <c r="D10" i="83"/>
  <c r="E10" i="83"/>
  <c r="B11" i="83"/>
  <c r="C11" i="83"/>
  <c r="D11" i="83"/>
  <c r="E11" i="83"/>
  <c r="B12" i="83"/>
  <c r="C12" i="83"/>
  <c r="D12" i="83"/>
  <c r="E12" i="83"/>
  <c r="B13" i="83"/>
  <c r="C13" i="83"/>
  <c r="D13" i="83"/>
  <c r="E13" i="83"/>
  <c r="B14" i="83"/>
  <c r="C14" i="83"/>
  <c r="D14" i="83"/>
  <c r="E14" i="83"/>
  <c r="B15" i="83"/>
  <c r="C15" i="83"/>
  <c r="D15" i="83"/>
  <c r="E15" i="83"/>
  <c r="B16" i="83"/>
  <c r="C16" i="83"/>
  <c r="D16" i="83"/>
  <c r="E16" i="83"/>
  <c r="B17" i="83"/>
  <c r="C17" i="83"/>
  <c r="D17" i="83"/>
  <c r="E17" i="83"/>
  <c r="B18" i="83"/>
  <c r="C18" i="83"/>
  <c r="D18" i="83"/>
  <c r="E18" i="83"/>
  <c r="B19" i="83"/>
  <c r="C19" i="83"/>
  <c r="D19" i="83"/>
  <c r="E19" i="83"/>
  <c r="B20" i="83"/>
  <c r="C20" i="83"/>
  <c r="D20" i="83"/>
  <c r="E20" i="83"/>
  <c r="B21" i="83"/>
  <c r="C21" i="83"/>
  <c r="D21" i="83"/>
  <c r="E21" i="83"/>
  <c r="B22" i="83"/>
  <c r="C22" i="83"/>
  <c r="D22" i="83"/>
  <c r="E22" i="83"/>
  <c r="B23" i="83"/>
  <c r="C23" i="83"/>
  <c r="D23" i="83"/>
  <c r="E23" i="83"/>
  <c r="B24" i="83"/>
  <c r="C24" i="83"/>
  <c r="D24" i="83"/>
  <c r="E24" i="83"/>
  <c r="B25" i="83"/>
  <c r="C25" i="83"/>
  <c r="D25" i="83"/>
  <c r="E25" i="83"/>
  <c r="B26" i="83"/>
  <c r="C26" i="83"/>
  <c r="D26" i="83"/>
  <c r="E26" i="83"/>
  <c r="B27" i="83"/>
  <c r="C27" i="83"/>
  <c r="D27" i="83"/>
  <c r="E27" i="83"/>
  <c r="B28" i="83"/>
  <c r="C28" i="83"/>
  <c r="D28" i="83"/>
  <c r="E28" i="83"/>
  <c r="B29" i="83"/>
  <c r="C29" i="83"/>
  <c r="D29" i="83"/>
  <c r="E29" i="83"/>
  <c r="B30" i="83"/>
  <c r="C30" i="83"/>
  <c r="D30" i="83"/>
  <c r="E30" i="83"/>
  <c r="B31" i="83"/>
  <c r="C31" i="83"/>
  <c r="D31" i="83"/>
  <c r="E31" i="83"/>
  <c r="B32" i="83"/>
  <c r="C32" i="83"/>
  <c r="D32" i="83"/>
  <c r="E32" i="83"/>
  <c r="B33" i="83"/>
  <c r="C33" i="83"/>
  <c r="D33" i="83"/>
  <c r="E33" i="83"/>
  <c r="B34" i="83"/>
  <c r="C34" i="83"/>
  <c r="D34" i="83"/>
  <c r="E34" i="83"/>
  <c r="B35" i="83"/>
  <c r="C35" i="83"/>
  <c r="D35" i="83"/>
  <c r="E35" i="83"/>
  <c r="B36" i="83"/>
  <c r="C36" i="83"/>
  <c r="D36" i="83"/>
  <c r="E36" i="83"/>
  <c r="B37" i="83"/>
  <c r="C37" i="83"/>
  <c r="D37" i="83"/>
  <c r="E37" i="83"/>
  <c r="B38" i="83"/>
  <c r="C38" i="83"/>
  <c r="D38" i="83"/>
  <c r="E38" i="83"/>
  <c r="B39" i="83"/>
  <c r="C39" i="83"/>
  <c r="D39" i="83"/>
  <c r="E39" i="83"/>
  <c r="B40" i="83"/>
  <c r="C40" i="83"/>
  <c r="D40" i="83"/>
  <c r="E40" i="83"/>
  <c r="B41" i="83"/>
  <c r="C41" i="83"/>
  <c r="D41" i="83"/>
  <c r="E41" i="83"/>
  <c r="B42" i="83"/>
  <c r="C42" i="83"/>
  <c r="D42" i="83"/>
  <c r="E42" i="83"/>
  <c r="B43" i="83"/>
  <c r="C43" i="83"/>
  <c r="D43" i="83"/>
  <c r="E43" i="83"/>
  <c r="B44" i="83"/>
  <c r="C44" i="83"/>
  <c r="D44" i="83"/>
  <c r="E44" i="83"/>
  <c r="B45" i="83"/>
  <c r="C45" i="83"/>
  <c r="D45" i="83"/>
  <c r="E45" i="83"/>
  <c r="B46" i="83"/>
  <c r="C46" i="83"/>
  <c r="D46" i="83"/>
  <c r="E46" i="83"/>
  <c r="B47" i="83"/>
  <c r="C47" i="83"/>
  <c r="D47" i="83"/>
  <c r="E47" i="83"/>
  <c r="B48" i="83"/>
  <c r="C48" i="83"/>
  <c r="D48" i="83"/>
  <c r="E48" i="83"/>
  <c r="B49" i="83"/>
  <c r="C49" i="83"/>
  <c r="D49" i="83"/>
  <c r="E49" i="83"/>
  <c r="B50" i="83"/>
  <c r="C50" i="83"/>
  <c r="D50" i="83"/>
  <c r="E50" i="83"/>
  <c r="B51" i="83"/>
  <c r="C51" i="83"/>
  <c r="D51" i="83"/>
  <c r="E51" i="83"/>
  <c r="B52" i="83"/>
  <c r="C52" i="83"/>
  <c r="D52" i="83"/>
  <c r="E52" i="83"/>
  <c r="B53" i="83"/>
  <c r="C53" i="83"/>
  <c r="D53" i="83"/>
  <c r="E53" i="83"/>
  <c r="B54" i="83"/>
  <c r="C54" i="83"/>
  <c r="D54" i="83"/>
  <c r="E54" i="83"/>
  <c r="B55" i="83"/>
  <c r="C55" i="83"/>
  <c r="D55" i="83"/>
  <c r="E55" i="83"/>
  <c r="B56" i="83"/>
  <c r="C56" i="83"/>
  <c r="D56" i="83"/>
  <c r="E56" i="83"/>
  <c r="B57" i="83"/>
  <c r="C57" i="83"/>
  <c r="D57" i="83"/>
  <c r="E57" i="83"/>
  <c r="B58" i="83"/>
  <c r="C58" i="83"/>
  <c r="D58" i="83"/>
  <c r="E58" i="83"/>
  <c r="B59" i="83"/>
  <c r="C59" i="83"/>
  <c r="D59" i="83"/>
  <c r="E59" i="83"/>
  <c r="B60" i="83"/>
  <c r="C60" i="83"/>
  <c r="D60" i="83"/>
  <c r="E60" i="83"/>
  <c r="B61" i="83"/>
  <c r="C61" i="83"/>
  <c r="D61" i="83"/>
  <c r="E61" i="83"/>
  <c r="B62" i="83"/>
  <c r="C62" i="83"/>
  <c r="D62" i="83"/>
  <c r="E62" i="83"/>
  <c r="B63" i="83"/>
  <c r="C63" i="83"/>
  <c r="D63" i="83"/>
  <c r="E63" i="83"/>
  <c r="B64" i="83"/>
  <c r="C64" i="83"/>
  <c r="D64" i="83"/>
  <c r="E64" i="83"/>
  <c r="B65" i="83"/>
  <c r="C65" i="83"/>
  <c r="D65" i="83"/>
  <c r="E65" i="83"/>
  <c r="B66" i="83"/>
  <c r="C66" i="83"/>
  <c r="D66" i="83"/>
  <c r="E66" i="83"/>
  <c r="B67" i="83"/>
  <c r="C67" i="83"/>
  <c r="D67" i="83"/>
  <c r="E67" i="83"/>
  <c r="B68" i="83"/>
  <c r="C68" i="83"/>
  <c r="D68" i="83"/>
  <c r="E68" i="83"/>
  <c r="B69" i="83"/>
  <c r="C69" i="83"/>
  <c r="D69" i="83"/>
  <c r="E69" i="83"/>
  <c r="B70" i="83"/>
  <c r="C70" i="83"/>
  <c r="D70" i="83"/>
  <c r="E70" i="83"/>
  <c r="B71" i="83"/>
  <c r="C71" i="83"/>
  <c r="D71" i="83"/>
  <c r="E71" i="83"/>
  <c r="B72" i="83"/>
  <c r="C72" i="83"/>
  <c r="D72" i="83"/>
  <c r="E72" i="83"/>
  <c r="B73" i="83"/>
  <c r="C73" i="83"/>
  <c r="D73" i="83"/>
  <c r="E73" i="83"/>
  <c r="B74" i="83"/>
  <c r="C74" i="83"/>
  <c r="D74" i="83"/>
  <c r="E74" i="83"/>
  <c r="B75" i="83"/>
  <c r="C75" i="83"/>
  <c r="D75" i="83"/>
  <c r="E75" i="83"/>
  <c r="B76" i="83"/>
  <c r="C76" i="83"/>
  <c r="D76" i="83"/>
  <c r="E76" i="83"/>
  <c r="B77" i="83"/>
  <c r="C77" i="83"/>
  <c r="D77" i="83"/>
  <c r="E77" i="83"/>
  <c r="B78" i="83"/>
  <c r="C78" i="83"/>
  <c r="D78" i="83"/>
  <c r="E78" i="83"/>
  <c r="B79" i="83"/>
  <c r="C79" i="83"/>
  <c r="D79" i="83"/>
  <c r="E79" i="83"/>
  <c r="B80" i="83"/>
  <c r="C80" i="83"/>
  <c r="D80" i="83"/>
  <c r="E80" i="83"/>
  <c r="B81" i="83"/>
  <c r="C81" i="83"/>
  <c r="D81" i="83"/>
  <c r="E81" i="83"/>
  <c r="B82" i="83"/>
  <c r="C82" i="83"/>
  <c r="D82" i="83"/>
  <c r="E82" i="83"/>
  <c r="B83" i="83"/>
  <c r="C83" i="83"/>
  <c r="D83" i="83"/>
  <c r="E83" i="83"/>
  <c r="B84" i="83"/>
  <c r="C84" i="83"/>
  <c r="D84" i="83"/>
  <c r="E84" i="83"/>
  <c r="B85" i="83"/>
  <c r="C85" i="83"/>
  <c r="D85" i="83"/>
  <c r="E85" i="83"/>
  <c r="B86" i="83"/>
  <c r="C86" i="83"/>
  <c r="D86" i="83"/>
  <c r="E86" i="83"/>
  <c r="B87" i="83"/>
  <c r="C87" i="83"/>
  <c r="D87" i="83"/>
  <c r="E87" i="83"/>
  <c r="B88" i="83"/>
  <c r="C88" i="83"/>
  <c r="D88" i="83"/>
  <c r="E88" i="83"/>
  <c r="B89" i="83"/>
  <c r="C89" i="83"/>
  <c r="D89" i="83"/>
  <c r="E89" i="83"/>
  <c r="B90" i="83"/>
  <c r="C90" i="83"/>
  <c r="D90" i="83"/>
  <c r="E90" i="83"/>
  <c r="B91" i="83"/>
  <c r="C91" i="83"/>
  <c r="D91" i="83"/>
  <c r="E91" i="83"/>
  <c r="B92" i="83"/>
  <c r="C92" i="83"/>
  <c r="D92" i="83"/>
  <c r="E92" i="83"/>
  <c r="B93" i="83"/>
  <c r="C93" i="83"/>
  <c r="D93" i="83"/>
  <c r="E93" i="83"/>
  <c r="B94" i="83"/>
  <c r="C94" i="83"/>
  <c r="D94" i="83"/>
  <c r="E94" i="83"/>
  <c r="B95" i="83"/>
  <c r="C95" i="83"/>
  <c r="D95" i="83"/>
  <c r="E95" i="83"/>
  <c r="B96" i="83"/>
  <c r="C96" i="83"/>
  <c r="D96" i="83"/>
  <c r="E96" i="83"/>
  <c r="B97" i="83"/>
  <c r="C97" i="83"/>
  <c r="D97" i="83"/>
  <c r="E97" i="83"/>
  <c r="B98" i="83"/>
  <c r="C98" i="83"/>
  <c r="D98" i="83"/>
  <c r="E98" i="83"/>
  <c r="B99" i="83"/>
  <c r="C99" i="83"/>
  <c r="D99" i="83"/>
  <c r="E99" i="83"/>
  <c r="B100" i="83"/>
  <c r="C100" i="83"/>
  <c r="D100" i="83"/>
  <c r="E100" i="83"/>
  <c r="B101" i="83"/>
  <c r="C101" i="83"/>
  <c r="D101" i="83"/>
  <c r="E101" i="83"/>
  <c r="B102" i="83"/>
  <c r="C102" i="83"/>
  <c r="D102" i="83"/>
  <c r="E102" i="83"/>
  <c r="B103" i="83"/>
  <c r="C103" i="83"/>
  <c r="D103" i="83"/>
  <c r="E103" i="83"/>
  <c r="B104" i="83"/>
  <c r="C104" i="83"/>
  <c r="D104" i="83"/>
  <c r="E104" i="83"/>
  <c r="B105" i="83"/>
  <c r="C105" i="83"/>
  <c r="D105" i="83"/>
  <c r="E105" i="83"/>
  <c r="B106" i="83"/>
  <c r="C106" i="83"/>
  <c r="D106" i="83"/>
  <c r="E106" i="83"/>
  <c r="B107" i="83"/>
  <c r="C107" i="83"/>
  <c r="D107" i="83"/>
  <c r="E107" i="83"/>
  <c r="B108" i="83"/>
  <c r="C108" i="83"/>
  <c r="D108" i="83"/>
  <c r="E108" i="83"/>
  <c r="B109" i="83"/>
  <c r="C109" i="83"/>
  <c r="D109" i="83"/>
  <c r="E109" i="83"/>
  <c r="B110" i="83"/>
  <c r="C110" i="83"/>
  <c r="D110" i="83"/>
  <c r="E110" i="83"/>
  <c r="B111" i="83"/>
  <c r="C111" i="83"/>
  <c r="D111" i="83"/>
  <c r="E111" i="83"/>
  <c r="B112" i="83"/>
  <c r="C112" i="83"/>
  <c r="D112" i="83"/>
  <c r="E112" i="83"/>
  <c r="B113" i="83"/>
  <c r="C113" i="83"/>
  <c r="D113" i="83"/>
  <c r="E113" i="83"/>
  <c r="B114" i="83"/>
  <c r="C114" i="83"/>
  <c r="D114" i="83"/>
  <c r="E114" i="83"/>
  <c r="B115" i="83"/>
  <c r="C115" i="83"/>
  <c r="D115" i="83"/>
  <c r="E115" i="83"/>
  <c r="B116" i="83"/>
  <c r="D116" i="83"/>
  <c r="E116" i="83"/>
  <c r="B117" i="83"/>
  <c r="D117" i="83"/>
  <c r="E117" i="83"/>
  <c r="B118" i="83"/>
  <c r="D118" i="83"/>
  <c r="E118" i="83"/>
  <c r="E119" i="83"/>
  <c r="E120" i="83"/>
  <c r="C125" i="83"/>
  <c r="C49" i="82"/>
  <c r="C14" i="79"/>
  <c r="C14" i="78"/>
  <c r="C78" i="76"/>
  <c r="C14" i="75"/>
  <c r="B9" i="71"/>
  <c r="B10" i="71"/>
  <c r="B11" i="71"/>
  <c r="B12" i="71"/>
  <c r="B13" i="71"/>
  <c r="C18" i="71"/>
  <c r="C50" i="70"/>
  <c r="C14" i="68"/>
  <c r="C14" i="63"/>
  <c r="C14" i="64"/>
  <c r="C14" i="62"/>
  <c r="C14" i="60"/>
  <c r="C15" i="59"/>
  <c r="B9" i="58"/>
  <c r="C9" i="58"/>
  <c r="B10" i="58"/>
  <c r="C10" i="58"/>
  <c r="B11" i="58"/>
  <c r="C11" i="58"/>
  <c r="B12" i="58"/>
  <c r="C12" i="58"/>
  <c r="B13" i="58"/>
  <c r="C13" i="58"/>
  <c r="C18" i="58"/>
  <c r="C14" i="57"/>
  <c r="C15" i="56"/>
  <c r="C14" i="55"/>
  <c r="C15" i="52"/>
  <c r="C14" i="54"/>
  <c r="C15" i="46"/>
  <c r="C15" i="53"/>
  <c r="C14" i="51"/>
  <c r="C18" i="49"/>
  <c r="C14" i="48"/>
  <c r="C14" i="47"/>
  <c r="B9" i="43"/>
  <c r="C9" i="43"/>
  <c r="E9" i="43"/>
  <c r="B10" i="43"/>
  <c r="C10" i="43"/>
  <c r="E10" i="43"/>
  <c r="B11" i="43"/>
  <c r="C11" i="43"/>
  <c r="E11" i="43"/>
  <c r="B12" i="43"/>
  <c r="C12" i="43"/>
  <c r="E12" i="43"/>
  <c r="B13" i="43"/>
  <c r="C13" i="43"/>
  <c r="B14" i="43"/>
  <c r="C14" i="43"/>
  <c r="B15" i="43"/>
  <c r="C15" i="43"/>
  <c r="E15" i="43"/>
  <c r="B16" i="43"/>
  <c r="C16" i="43"/>
  <c r="E16" i="43"/>
  <c r="C22" i="43"/>
  <c r="C16" i="41"/>
  <c r="C16" i="40"/>
  <c r="C19" i="39"/>
  <c r="C19" i="36"/>
  <c r="C16" i="35"/>
  <c r="C19" i="33"/>
  <c r="B9" i="34"/>
  <c r="C9" i="34"/>
  <c r="E9" i="34"/>
  <c r="B10" i="34"/>
  <c r="C10" i="34"/>
  <c r="B11" i="34"/>
  <c r="C11" i="34"/>
  <c r="E11" i="34"/>
  <c r="B12" i="34"/>
  <c r="C12" i="34"/>
  <c r="E12" i="34"/>
  <c r="B13" i="34"/>
  <c r="C13" i="34"/>
  <c r="E13" i="34"/>
  <c r="B14" i="34"/>
  <c r="C14" i="34"/>
  <c r="E14" i="34"/>
  <c r="B15" i="34"/>
  <c r="C15" i="34"/>
  <c r="E15" i="34"/>
  <c r="B16" i="34"/>
  <c r="C16" i="34"/>
  <c r="E16" i="34"/>
  <c r="B17" i="34"/>
  <c r="C17" i="34"/>
  <c r="E17" i="34"/>
  <c r="B18" i="34"/>
  <c r="C18" i="34"/>
  <c r="E18" i="34"/>
  <c r="B19" i="34"/>
  <c r="C19" i="34"/>
  <c r="E19" i="34"/>
  <c r="B20" i="34"/>
  <c r="C20" i="34"/>
  <c r="E20" i="34"/>
  <c r="B21" i="34"/>
  <c r="C21" i="34"/>
  <c r="E21" i="34"/>
  <c r="B22" i="34"/>
  <c r="C22" i="34"/>
  <c r="E22" i="34"/>
  <c r="B23" i="34"/>
  <c r="C23" i="34"/>
  <c r="E23" i="34"/>
  <c r="B24" i="34"/>
  <c r="C24" i="34"/>
  <c r="E24" i="34"/>
  <c r="B25" i="34"/>
  <c r="C25" i="34"/>
  <c r="E25" i="34"/>
  <c r="B26" i="34"/>
  <c r="C26" i="34"/>
  <c r="E26" i="34"/>
  <c r="B27" i="34"/>
  <c r="C27" i="34"/>
  <c r="E27" i="34"/>
  <c r="C34" i="34"/>
  <c r="C17" i="30"/>
  <c r="C35" i="23"/>
  <c r="C21" i="21"/>
  <c r="B9" i="20"/>
  <c r="C9" i="20"/>
  <c r="B10" i="20"/>
  <c r="C10" i="20"/>
  <c r="B11" i="20"/>
  <c r="C11" i="20"/>
  <c r="B12" i="20"/>
  <c r="C12" i="20"/>
  <c r="B13" i="20"/>
  <c r="C13" i="20"/>
  <c r="B14" i="20"/>
  <c r="C14" i="20"/>
  <c r="B15" i="20"/>
  <c r="C15" i="20"/>
  <c r="B16" i="20"/>
  <c r="C16" i="20"/>
  <c r="B17" i="20"/>
  <c r="C17" i="20"/>
  <c r="B18" i="20"/>
  <c r="C18" i="20"/>
  <c r="B19" i="20"/>
  <c r="C19" i="20"/>
  <c r="B20" i="20"/>
  <c r="C20" i="20"/>
  <c r="B21" i="20"/>
  <c r="C21" i="20"/>
  <c r="B22" i="20"/>
  <c r="C22" i="20"/>
  <c r="B23" i="20"/>
  <c r="C23" i="20"/>
  <c r="B24" i="20"/>
  <c r="C24" i="20"/>
  <c r="B26" i="20"/>
  <c r="C26" i="20"/>
  <c r="C16" i="19"/>
  <c r="C14" i="18"/>
  <c r="B18" i="15"/>
  <c r="C18" i="15"/>
  <c r="B19" i="15"/>
  <c r="C19" i="15"/>
  <c r="B20" i="15"/>
  <c r="C20" i="15"/>
  <c r="C25" i="15"/>
  <c r="C16" i="37"/>
  <c r="C18" i="14"/>
  <c r="C15" i="13"/>
  <c r="C16" i="12"/>
  <c r="C17" i="8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C32" i="6"/>
  <c r="C23" i="5"/>
  <c r="C23" i="2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</calcChain>
</file>

<file path=xl/comments1.xml><?xml version="1.0" encoding="utf-8"?>
<comments xmlns="http://schemas.openxmlformats.org/spreadsheetml/2006/main">
  <authors>
    <author>Jacek francuz</author>
    <author>ania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  <comment ref="D18" authorId="1">
      <text>
        <r>
          <rPr>
            <sz val="8"/>
            <color indexed="81"/>
            <rFont val="Tahoma"/>
            <family val="2"/>
          </rPr>
          <t>Wartość w tej kolumnie przepisuje się automatycznie z pola "Cena brutto" na arkuszu właściwego zadania</t>
        </r>
      </text>
    </comment>
    <comment ref="E18" authorId="1">
      <text>
        <r>
          <rPr>
            <sz val="8"/>
            <color indexed="81"/>
            <rFont val="Tahoma"/>
            <family val="2"/>
            <charset val="238"/>
          </rPr>
          <t>Wartość w tej kolumnie przepisuje się automatycznie z pola "Kwota VAT" na arkuszu właściwego zadania</t>
        </r>
      </text>
    </comment>
  </commentList>
</comments>
</file>

<file path=xl/comments2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2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2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32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7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2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31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21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3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2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7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3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9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9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21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9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22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3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4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5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6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7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8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9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0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50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1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2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7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3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4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7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5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6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7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49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8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2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9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0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1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2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3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4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5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8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6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7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8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9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0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7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1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2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3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4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7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5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6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6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7.xml><?xml version="1.0" encoding="utf-8"?>
<comments xmlns="http://schemas.openxmlformats.org/spreadsheetml/2006/main">
  <authors>
    <author>Zamówienia Publiczne</author>
    <author>ania</author>
  </authors>
  <commentList>
    <comment ref="A8" author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<sst xmlns="http://schemas.openxmlformats.org/spreadsheetml/2006/main" count="2256" uniqueCount="676">
  <si>
    <t>Przeglądy zgodnie z wymaganiami producenta obejmujące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Przeglądy wykonywane przy użyciu zalecanych przez producenta urządzeń kontrolnopomiarowych posiadających aktualne świadectwa kalibracji/wzorcowania. Przeglądy obejmują min. wymianę elementów – zestaw 2-letni Primus (1 szt.), zestaw 1-roczny Primus (2 szt.), filtr 37 mm - 3 szt, uszczelki (3 szt.), Lithium-ion battery (2 szt.) do monitorów Infinity Delta, moduł przewodowy Multimed 5 2,5 m (1 szt.), przewód EKG, 3-odpr, 2-pinowy, IEC1 (2 szt.), przedłużacz SpO2 Drager/Nellcor do Multimed 5 (1 szt.), czujnik SpO2 Drager na palec (1 szt.), czujnik SpO2 Masimo LNCS na palec z przedłużaczem, dren łączący NIPC do monitora Infinity (1 szt.), mankiet NIPC, rozmiar 23-33 cm (3 szt.), pułapka wodna (36 szt.). Koszt przeglądów obejmuje koszty dojazdu.</t>
  </si>
  <si>
    <t>Wykonawca posiada uprawnienia serwisowe lub szkolenia serwisowe wystawione przez co najmniej 1-go (dowolnego) producenta termomikserów, potwierdzające uprawnienia do wykonywania czynności serwisowych.</t>
  </si>
  <si>
    <t>Przegląd zgodny z wymaganiami producenta obejmujący min. czyszczenie, sprawdzenie bezpieczeństwa mechanicznego i elektrycznego, kontrolę zużycia części i wyposażenia, sprawdzenie poprawności ogólnego funkcjonowania aparatu i jego gotowości do pracy, sprawdzenie, pomiary i korekta fizycznych parametrów ekspozycji, sprawdzenie i korekta geometrii wiązki promieniowania, kontrola jakości obrazów, oczyszczenie dróg chłodzenia i odprowadzania ciepła, smarowanie ruchomych części mechanicznych, konserwacja oprogramowania systemowego i aplikacyjnego, przygotowanie szczegółowego protokołu z przeglądu zawierającego wyniki pomiarów w odniesieniu do obowiązujących norm, wystawienie certyfikatu sprawności, testy bezpieczeństwa elektrycznego. Koszt przeglądu obejmuje koszty dojazdu.</t>
  </si>
  <si>
    <t>FD1800</t>
  </si>
  <si>
    <t>WAA053960</t>
  </si>
  <si>
    <t>WAA053961</t>
  </si>
  <si>
    <t>CF-3C120727</t>
  </si>
  <si>
    <t>CF-3C120728</t>
  </si>
  <si>
    <t>CF-3C120729</t>
  </si>
  <si>
    <t>CF-3C120732</t>
  </si>
  <si>
    <t>CF-3C120734</t>
  </si>
  <si>
    <t>CF-3C120736</t>
  </si>
  <si>
    <t>CF-3C120737</t>
  </si>
  <si>
    <t>CF-3C120738</t>
  </si>
  <si>
    <t>CF-3C120739</t>
  </si>
  <si>
    <t>CF-3C120740</t>
  </si>
  <si>
    <t>CF-3C120741</t>
  </si>
  <si>
    <t>CF-47123547</t>
  </si>
  <si>
    <t>Centrala Intensywnego Nadzoru Hypervisor IV</t>
  </si>
  <si>
    <t>CZC3484LMD</t>
  </si>
  <si>
    <t>CZC41337LZ</t>
  </si>
  <si>
    <t>CZC41337M3</t>
  </si>
  <si>
    <t>EL-42012818</t>
  </si>
  <si>
    <t>EL-46014684</t>
  </si>
  <si>
    <t>47/05</t>
  </si>
  <si>
    <t>Stół Polkam 15M</t>
  </si>
  <si>
    <t>Okres gwarancji wynosi: ……………………miesięcy na wymienione w ramach każdego przeglądu części aparatu.</t>
  </si>
  <si>
    <t>Optivantage DH</t>
  </si>
  <si>
    <t>CI0312B562</t>
  </si>
  <si>
    <t>ASDJ-0110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</si>
  <si>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części (zestawy serwisowe PM) przewidzianych przez producenta do wymiany podczas przeglądu okresowego. Koszt przeglądu obejmuje koszty dojazdu.</t>
  </si>
  <si>
    <t>GammaFinder II</t>
  </si>
  <si>
    <t>040106</t>
  </si>
  <si>
    <t>020758</t>
  </si>
  <si>
    <t>Pulsoksymetr Spectro2</t>
  </si>
  <si>
    <t>Kapnograf Capnocheck II</t>
  </si>
  <si>
    <t>Kardiomonitor FX 2000P</t>
  </si>
  <si>
    <t>Kardiomonitor Enmove 1200</t>
  </si>
  <si>
    <t>Myjnia G7824</t>
  </si>
  <si>
    <t>Suszarka KSU-66150</t>
  </si>
  <si>
    <t>Zgrzewarka Steripack 301</t>
  </si>
  <si>
    <t>Myjnia G7836</t>
  </si>
  <si>
    <t>FACSCalibur</t>
  </si>
  <si>
    <t>Aparat do hipertermii</t>
  </si>
  <si>
    <t>Aparaty EKG</t>
  </si>
  <si>
    <t>Aparatura do histopatologii II</t>
  </si>
  <si>
    <t>Urządzenia Maquet</t>
  </si>
  <si>
    <t>Laser do udrażniania światła oskrzeli</t>
  </si>
  <si>
    <t>Aparaty do znieczulania Draeger</t>
  </si>
  <si>
    <t>Aparaty do znieczulania Anmedic</t>
  </si>
  <si>
    <t>Aparaty elektrochirurgiczne Emed</t>
  </si>
  <si>
    <t>Aparaty elektrochirurgiczne Valleylab</t>
  </si>
  <si>
    <t>Aparaty USG</t>
  </si>
  <si>
    <t>Respirator Viasys</t>
  </si>
  <si>
    <t>Detektory promieniowania gamma</t>
  </si>
  <si>
    <t>Zestawy laparoskopowe Aesculap</t>
  </si>
  <si>
    <t>Mikrotomy</t>
  </si>
  <si>
    <t>Urządzenia Mindray</t>
  </si>
  <si>
    <t>Monitor PM9000</t>
  </si>
  <si>
    <t>Monitor BeneView T8 z modułem BeneView T1</t>
  </si>
  <si>
    <t>Monitor BeneView T8</t>
  </si>
  <si>
    <t>Defibrylator BeneHeart D3</t>
  </si>
  <si>
    <t>Aparat do znieczulania A7 (+ monitor BeneView T8)</t>
  </si>
  <si>
    <t>Defibrylatory</t>
  </si>
  <si>
    <t>Pompy infuzyjne Braun</t>
  </si>
  <si>
    <t>Sterylizator plazmowy</t>
  </si>
  <si>
    <t>Urządzenia sterylizacji parowej</t>
  </si>
  <si>
    <t>Urządzenia Centralnej Sterylizatorni</t>
  </si>
  <si>
    <t>Komory laminarne</t>
  </si>
  <si>
    <t>Urządzenia ZdAJ</t>
  </si>
  <si>
    <t>Cytometr przepływowy</t>
  </si>
  <si>
    <t>Aparat do suchego rozmrażania osocza</t>
  </si>
  <si>
    <t>Myjnie-dezynfektory do kaczek i basenów Steelco</t>
  </si>
  <si>
    <t>Systemy do planowania leczenia</t>
  </si>
  <si>
    <t>Drukarki do klisz</t>
  </si>
  <si>
    <t>Aparat rtg Ziehm</t>
  </si>
  <si>
    <t>0490</t>
  </si>
  <si>
    <t>0633</t>
  </si>
  <si>
    <t>0274</t>
  </si>
  <si>
    <t>64/06</t>
  </si>
  <si>
    <t>Wykonawca posiada uprawnienia serwisowe lub szkolenia serwisowe wystawione przez co najmniej 1-go producenta wymienionych wyżej łóżek, uprawniające do wykonywania przeglądów i napraw.</t>
  </si>
  <si>
    <t>Sprzęt endoskopowy Pentax</t>
  </si>
  <si>
    <t>EPK-i</t>
  </si>
  <si>
    <t>EF012025</t>
  </si>
  <si>
    <t>EB-1975K</t>
  </si>
  <si>
    <t>Aparaty rtg Siemens</t>
  </si>
  <si>
    <t>GI20230</t>
  </si>
  <si>
    <t>EG-2990i</t>
  </si>
  <si>
    <t>EC-3890Fi2</t>
  </si>
  <si>
    <t>A118405</t>
  </si>
  <si>
    <t>A112057</t>
  </si>
  <si>
    <t>Wykonawca posiada uprawnienia serwisowe lub szkolenia serwisowe wystawione przez producenta ww. aparatu lub autoryzowanego przedstawiciela, uprawniające do wykonywania przeglądów i napraw.</t>
  </si>
  <si>
    <t>Myjnie-dezynfektory do kaczek i basenów Getinge</t>
  </si>
  <si>
    <t>Respiratory Covidien</t>
  </si>
  <si>
    <t>Morcelator Richard Wolf</t>
  </si>
  <si>
    <t>Nóż harmoniczny</t>
  </si>
  <si>
    <t>Aspirator ultradźwiękowy</t>
  </si>
  <si>
    <t>Kardiomonitor do pomiarów hemodynamicznych serca</t>
  </si>
  <si>
    <t>Łóżka szpitalne elektryczne</t>
  </si>
  <si>
    <t>Komory manipulacyjne</t>
  </si>
  <si>
    <t>Nr 02 seria 57/06</t>
  </si>
  <si>
    <t>Nr 01 seria 57/06</t>
  </si>
  <si>
    <t>Nr 03 seria 57/06</t>
  </si>
  <si>
    <t>Drzwi osłonowe obrotowe</t>
  </si>
  <si>
    <t>NMC 50 DSI</t>
  </si>
  <si>
    <t>E0669</t>
  </si>
  <si>
    <t>Przegląd zgodny z wymaganiami producenta obejmujący min. czyszczenie wnętrza aparatu, czyszczenie i optymalizacja zestrojenia optyki,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wymiana zestawu "PM Kit", testy bezpieczeństwa elektrycznego. Koszt przeglądu obejmuje koszty dojazdu.</t>
  </si>
  <si>
    <t>Sahara III</t>
  </si>
  <si>
    <t>BP 100 HA</t>
  </si>
  <si>
    <t>Myjnia ultradźwiękowa</t>
  </si>
  <si>
    <t>Ultramatic 550</t>
  </si>
  <si>
    <t>System EcoSoft</t>
  </si>
  <si>
    <t>Kardiomonitor Precess 3160</t>
  </si>
  <si>
    <t>US10500233</t>
  </si>
  <si>
    <t>Aphastar Pro</t>
  </si>
  <si>
    <t>00256</t>
  </si>
  <si>
    <t>00257</t>
  </si>
  <si>
    <t>00268</t>
  </si>
  <si>
    <t>Volista 600/400</t>
  </si>
  <si>
    <t>AR029000/ AR028047</t>
  </si>
  <si>
    <t>AR025074/ AR025065</t>
  </si>
  <si>
    <t>Modutec MM 6-6 BP</t>
  </si>
  <si>
    <t>Modutec HM 9-9 BP</t>
  </si>
  <si>
    <t>SUQ822810</t>
  </si>
  <si>
    <t>SUQ822809</t>
  </si>
  <si>
    <t>SUQ822811</t>
  </si>
  <si>
    <t>SUQ822812</t>
  </si>
  <si>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elementów: filtr wewnętrzny z tłumikiem (10365), uszczelka (30020) – 2 szt., filtr wentylatora (34058), filtr wejściowy tlenu (06804), filtr wejściowy powietrza (20819), membrana zastawki wydechowej (10384), czujnik tlenu (0110043). Koszt przeglądu obejmuje koszty dojazdu.</t>
  </si>
  <si>
    <t>Część</t>
  </si>
  <si>
    <t>Składamy ofertę na następujące części:</t>
  </si>
  <si>
    <t>Numer części:</t>
  </si>
  <si>
    <t>\</t>
  </si>
  <si>
    <t>Sygnatura postępowania:</t>
  </si>
  <si>
    <t>Preirus</t>
  </si>
  <si>
    <t>KE13039107</t>
  </si>
  <si>
    <t>AMPLIVAL</t>
  </si>
  <si>
    <t>74175</t>
  </si>
  <si>
    <t>74149</t>
  </si>
  <si>
    <t>BX-41</t>
  </si>
  <si>
    <t>3K12946</t>
  </si>
  <si>
    <t>BX-51</t>
  </si>
  <si>
    <t>1922435</t>
  </si>
  <si>
    <t>339226</t>
  </si>
  <si>
    <t>CX31</t>
  </si>
  <si>
    <t>7B17635</t>
  </si>
  <si>
    <t>7B17615</t>
  </si>
  <si>
    <t>7E08602</t>
  </si>
  <si>
    <t>7B17339</t>
  </si>
  <si>
    <t>8G11085</t>
  </si>
  <si>
    <t>8E06537</t>
  </si>
  <si>
    <t>8E07217</t>
  </si>
  <si>
    <t>9H03072</t>
  </si>
  <si>
    <t>9H03050</t>
  </si>
  <si>
    <t>9H03300</t>
  </si>
  <si>
    <t>CX31 RBSF</t>
  </si>
  <si>
    <t>7J09665</t>
  </si>
  <si>
    <t>Eclipse 400</t>
  </si>
  <si>
    <t>674888</t>
  </si>
  <si>
    <t>Eclipse 50i</t>
  </si>
  <si>
    <t>910999</t>
  </si>
  <si>
    <t>910998</t>
  </si>
  <si>
    <t>0114273</t>
  </si>
  <si>
    <t>HUND H600</t>
  </si>
  <si>
    <t>1010201</t>
  </si>
  <si>
    <t>HUND V300</t>
  </si>
  <si>
    <t>1010234</t>
  </si>
  <si>
    <t>Motic BA 310 LED Binokular</t>
  </si>
  <si>
    <t>1.1130001919</t>
  </si>
  <si>
    <t>NICON Labophot2</t>
  </si>
  <si>
    <t>338632</t>
  </si>
  <si>
    <t>WILOVERT S</t>
  </si>
  <si>
    <t>BX53</t>
  </si>
  <si>
    <t>7G46601</t>
  </si>
  <si>
    <t>CKX53</t>
  </si>
  <si>
    <t>7G47230</t>
  </si>
  <si>
    <t>Nikon E200</t>
  </si>
  <si>
    <t>105264</t>
  </si>
  <si>
    <t>80-02678</t>
  </si>
  <si>
    <t>Pojemność</t>
  </si>
  <si>
    <t>1-10ml</t>
  </si>
  <si>
    <t>Wykonawca posiada uprawnienia serwisowe lub szkolenia serwisowe wystawione przez co najmniej 1-go (dowolnego) producenta mikroskopów, uprawniające do wykonywania przeglądów i napraw.</t>
  </si>
  <si>
    <t>Wykonawca posiada uprawnienia serwisowe lub szkolenia serwisowe wystawione przez co najmniej 1-go (dowolnego) producenta pipet, uprawniające do wykonywania przeglądów i napraw.</t>
  </si>
  <si>
    <t>Przegląd zostanie udokumentowany kartą pracy/raportem serwisowym, oraz wpisem do paszportu technicznego. Mikroskopy zostaną oznakowany nalepką z terminem wykonania kolejnego przeglądu.</t>
  </si>
  <si>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producenta.</t>
  </si>
  <si>
    <t>Alphamaquet 1150</t>
  </si>
  <si>
    <t>02710</t>
  </si>
  <si>
    <t>CF-H185L</t>
  </si>
  <si>
    <t>2020-07-30, drugi po 6 miesiącach</t>
  </si>
  <si>
    <t xml:space="preserve">2020-10-24, drugi po 6 miesiącach </t>
  </si>
  <si>
    <t>Mini ETD-2 PlusGA</t>
  </si>
  <si>
    <t>Myjnie endoskopowe, szafa do suszenia endoskopów</t>
  </si>
  <si>
    <t>EDC Plus</t>
  </si>
  <si>
    <t>NG817130</t>
  </si>
  <si>
    <t>Ion S5</t>
  </si>
  <si>
    <t>2772717110499</t>
  </si>
  <si>
    <t>Sekwenator Ion S5 z wyposażeniem</t>
  </si>
  <si>
    <t>Ion Chef</t>
  </si>
  <si>
    <t>242470864</t>
  </si>
  <si>
    <t>Wykonawca posiada uprawnienia serwisowe lub szkolenia serwisowe wystawione przez co najmniej 1-go (dowolnego) producenta sekwenatorów, potwierdzające uprawnienia do wykonywania czynności serwisowych.</t>
  </si>
  <si>
    <t>ID-Pipetor FP-4</t>
  </si>
  <si>
    <t>A09312221</t>
  </si>
  <si>
    <t>A11713961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</si>
  <si>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zestawów serwisowych (Maintenance Kit) w myjniach oraz filtrów w szafie. Wykonawca w ramach przeglądu zobowiązuje się do przygotowania bieżących zaleceń eksploatacyjnych związanych ze stanem aparatów oraz ich dalszym użytkowaniem. Wykonawca zobowiązuje się do wykonania ekspertyz technicznych związanych z wykrytymi usterkami oraz kosztorysu naprawy. Koszt przeglądu obejmuje koszty dojazdu.</t>
  </si>
  <si>
    <t>2020.07.27, drugi po 6 miesiącach</t>
  </si>
  <si>
    <t>2020-08-13, drugi po 6 miesiącach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</si>
  <si>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 Wykonawca w ramach przeglądu zobowiązuje się do przygotowania bieżących zaleceń eksploatacyjnych związanych ze stanem aparatów oraz ich dalszym użytkowaniem. Wykonawca zobowiązuje się do wykonania ekspertyz technicznych związanych z wykrytymi usterkami oraz kosztorysu naprawy. Wykonawca zobowiązuje się do zwrotu endoskopów w nie pogorszonym stanie technicznym, wszelkie działania mogące pogorszyć stan techniczny endoskopów muszą być wcześniej uzgadniane z Zamawiającym.</t>
  </si>
  <si>
    <t>Przegląd zgodny z wymaganiami producenta obejmujący min. pomiary mocy wyjściowych dla poszczególnych gniazd i trybów pracy, czyszczenie wnętrza i ocena stanu elementów sterujących, kontrola aktywacji, konserwację zgodnie z zaleceniami producenta, testy bezpieczeństwa elektrycznego.</t>
  </si>
  <si>
    <t xml:space="preserve">Przegląd zgodny z wymaganiami producenta obejmujący min. pomiary mocy wyjściowych dla poszczególnych gniazd i trybów pracy, czyszczenie wnętrza i ocena stanu elementów sterujących, kontrola aktywacji, konserwację zgodnie z zaleceniami producenta, testy bezpieczeństwa elektrycznego. </t>
  </si>
  <si>
    <t>Primus</t>
  </si>
  <si>
    <t>ASFJ-0047</t>
  </si>
  <si>
    <t>GN640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</si>
  <si>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wysyłki, fakt pobrania sprzętu do przeglądu i odbioru sprzętu po przeglądzie zostanie potwierdzony pokwitowaniem z zaznaczeniem nazwy, typu i numeru fabrycznego sprzętu. Wykonawca ponosi pełną odpowiedzialność za przewożony sprzęt.</t>
  </si>
  <si>
    <t>Przegląd zgodny z wymaganiami producenta obejmujący min. czyszczenie, sprawdzenie bezpieczeństwa mechanicznego i elektrycznego, kontrolę zużycia części i wyposażenia, sprawdzenie poprawności ogólnego funkcjonowania myjni,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i czyszczenie sitek na elektrozaworach, sprawdzenie i odkamienienie dysz i wytwornicy pary, testy bezpieczeństwa elektrycznego. Koszt przeglądu obejmuje koszty dojazdu.</t>
  </si>
  <si>
    <t>133569_1_5/1</t>
  </si>
  <si>
    <t>133569_1_5/2</t>
  </si>
  <si>
    <t>133569_1_5/3</t>
  </si>
  <si>
    <t>133569_1_5/4</t>
  </si>
  <si>
    <t>133569_1_5/5</t>
  </si>
  <si>
    <t>0606/00057</t>
  </si>
  <si>
    <t>CareAssist</t>
  </si>
  <si>
    <t>HRP000634197</t>
  </si>
  <si>
    <t>HRP000634198</t>
  </si>
  <si>
    <t>0914/022131/00555</t>
  </si>
  <si>
    <t>0914/022131/00564</t>
  </si>
  <si>
    <t>0914/022131/00567</t>
  </si>
  <si>
    <t>0914/022131/00560</t>
  </si>
  <si>
    <t>0914/022131/00565</t>
  </si>
  <si>
    <t>0914/022131/00568</t>
  </si>
  <si>
    <t>0914/022131/00550</t>
  </si>
  <si>
    <t>0914/022131/00548</t>
  </si>
  <si>
    <t>0914/022131/00570</t>
  </si>
  <si>
    <t>0914/022131/00559</t>
  </si>
  <si>
    <t>0914/022131/00554</t>
  </si>
  <si>
    <t>0914/022131/00556</t>
  </si>
  <si>
    <t>0914/022131/00551</t>
  </si>
  <si>
    <t>0914/022131/00569</t>
  </si>
  <si>
    <t>0914/022131/00566</t>
  </si>
  <si>
    <t>0914/022131/00562</t>
  </si>
  <si>
    <t>0914/022131/00549</t>
  </si>
  <si>
    <t>0914/022131/00552</t>
  </si>
  <si>
    <t>0914/022131/00561</t>
  </si>
  <si>
    <t>0914/022131/00553</t>
  </si>
  <si>
    <t>0914/022131/00558</t>
  </si>
  <si>
    <t>0914/022131/00563</t>
  </si>
  <si>
    <t>0914/022131/00557</t>
  </si>
  <si>
    <t>0606/00055</t>
  </si>
  <si>
    <t>0606/00056</t>
  </si>
  <si>
    <t>LE-12.0/N-337/06</t>
  </si>
  <si>
    <t>LR-03.7</t>
  </si>
  <si>
    <t>0808/01063</t>
  </si>
  <si>
    <t>0808/01064</t>
  </si>
  <si>
    <t>0908/01065</t>
  </si>
  <si>
    <t>0908/01067</t>
  </si>
  <si>
    <t>0908/01066</t>
  </si>
  <si>
    <t>T1K25934EX</t>
  </si>
  <si>
    <t>B650</t>
  </si>
  <si>
    <t>Falcon E</t>
  </si>
  <si>
    <t>SK005-4</t>
  </si>
  <si>
    <t>802-71-42</t>
  </si>
  <si>
    <t>802-71-43</t>
  </si>
  <si>
    <t>802-71-44</t>
  </si>
  <si>
    <t>802-71-45</t>
  </si>
  <si>
    <t>Aparaty elektrochirurgiczne Erbe</t>
  </si>
  <si>
    <t>Telepack X/ Telecam DX II</t>
  </si>
  <si>
    <t>20045020/ VV836914-H</t>
  </si>
  <si>
    <t>149401407R</t>
  </si>
  <si>
    <t>GEN11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</si>
  <si>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 Wykonawca ponosi pełną odpowiedzialność za przewożony sprzęt.</t>
  </si>
  <si>
    <t>Poszczególne przeglądy zostaną udokumentowane kartą pracy/raportem serwisowym, oraz wpisem do paszportu technicznego. Aparaty zostaną oznakowane nalepką z terminem wykonania kolejnego przeglądu. Koszt przeglądu obejmuje koszty dojazdu lub wysyłki. W przypadku wysyłki Wykonawca ponosi pełną odpowiedzialność za przewożony sprzęt.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</si>
  <si>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dojazdu.</t>
  </si>
  <si>
    <t>Cusa Excel+</t>
  </si>
  <si>
    <t>HGK1405704IE</t>
  </si>
  <si>
    <t>SEW14127236HA</t>
  </si>
  <si>
    <t>EV1000</t>
  </si>
  <si>
    <t>EVD55520</t>
  </si>
  <si>
    <t>Drystar Axys</t>
  </si>
  <si>
    <t>Przegląd zgodny z wymaganiami producenta obejmujący min. czyszczenie i konserwację, sprawdzenie poprawności działania, niezbędne testy i kalibracje. Koszt przeglądu obejmuje koszty dojazdu.</t>
  </si>
  <si>
    <t>Urządzenie Elmasteam ES5000</t>
  </si>
  <si>
    <t>000221029</t>
  </si>
  <si>
    <t>NMC 50 1/30-20VF</t>
  </si>
  <si>
    <t>Poszczególne przeglądy zostaną udokumentowane kartą pracy/raportem serwisowym, oraz wpisem do paszportu technicznego. Aparaty zostaną oznakowane nalepką z terminem wykonania kolejnego przeglądu.</t>
  </si>
  <si>
    <t>Oncentra Prostate</t>
  </si>
  <si>
    <t>Oncentra Brachy</t>
  </si>
  <si>
    <t>Przegląd zgodny z wymaganiami producenta obejmujący min. czyszczenie i konserwacja wnętrza serwerów i stacji klienckich,weryfikacja błędów w logach systemowych oraz logach aplikacji. Sprawdzenie poprawności wykonywania backupów. Sprawdzenie poprawności działania systemów. Koszt przeglądu obejmuje koszty dojazdu.</t>
  </si>
  <si>
    <t>03E65C6E</t>
  </si>
  <si>
    <t>Poszczególne przeglądy zostaną udokumentowane kartą pracy/raportem serwisowym wraz z listą kontrolną przeprowadzonych czynności, oraz wpisem do paszportu technicznego. Aparaty zostaną oznakowane nalepką z terminem wykonania kolejnego przeglądu.</t>
  </si>
  <si>
    <t>Przegląd zgodny z wymaganiami producenta obejmujący min. czyszczenie, sprawdzenie bezpieczeństwa mechanicznego i elektrycznego, sprawdzenie prawidłowego otwierania i zamykania szklanej pokrywy frontowej, prawidłowego ruchu osłony ze szkła ołowiowego, systemu wentylacji i systemu filtrów, systemu oświetlenia i UV, systemu podnośników,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bezpieczeństwa elektrycznego w niezbędnym zakresie. Koszt przeglądu obejmuje również sprawdzenie mierników dawki Curiementor obejmujące kontrolę przewodów sygnałowych i przycisków, sprawdzenie zerowania i pomiaru tła, sprawdzenie działania źródłem kontrolnym dostarczonym przez użytkownika. Koszt przeglądu obejmuje koszty dojazdu.</t>
  </si>
  <si>
    <t>Wykonawca posiada uprawnienia serwisowe lub szkolenia serwisowe wystawione przez co najmniej 1-go (dowolnego) producenta stołów operacyjnych, potwierdzające uprawnienia do wykonywania czynności serwisowych.</t>
  </si>
  <si>
    <t>Przegląd zgodny z wymaganiami producenta obejmujący min. czyszczenie, sprawdzenie bezpieczeństwa mechanicznego i elektrycznego, smarowanie ruchomych części mechanicznych,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</si>
  <si>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Prisma 6133</t>
  </si>
  <si>
    <t>61330751-0315</t>
  </si>
  <si>
    <t>Film Coverslipper 4742</t>
  </si>
  <si>
    <t>47420985-0116</t>
  </si>
  <si>
    <t>Przegląd zgodny z wymaganiami producenta obejmujący min. czyszczenie, sprawdzenie bezpieczeństwa mechanicznego i elektrycznego, kontrolę zużycia części i wyposażenia, sprawdzenie poprawności ogólnego funkcjonowania aparatów,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zestawu serwisowego w zaklejarce Film Coverslipper 4742.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</si>
  <si>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urządzeń,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 – filtry HEPA do G7824 - 4 szt., obudowa pompy DOS (60/30) do myjni G7824 - 2 szt., obudowa pompy DOS (30/10) do myjni G7824 - 2 szt., filtr zgrubny i HEPA do KSU-66150, rolka dociskowa, taśma barwiąca, taśma teflonowa grzałek i prowadnic, paski zębate do Steripack 301, uszczelki pod korek wlewu wody do Elmasteam - 3 szt., wentylator suszarki Mrg 027 230V, uszczelka drzwi, filtr HEPA do myjni G7836. Koszt przeglądu obejmuje koszty dojazdu.</t>
  </si>
  <si>
    <t>Inkubatory CO2, cieplarki Incucell</t>
  </si>
  <si>
    <t>Przegląd zgodny z wymaganiami producenta obejmujący min. czyszczenie, sprawdzenie bezpieczeństwa mechanicznego i elektrycznego, kontrolę zużycia części i wyposażenia, sprawdzenie poprawności ogólnego funkcjonowania aparatów,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</si>
  <si>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Sekwenator kapilarny</t>
  </si>
  <si>
    <t>Heraus Megafuge 16</t>
  </si>
  <si>
    <t>Heraus Megafuge 8R</t>
  </si>
  <si>
    <t>29118-020</t>
  </si>
  <si>
    <t>2013000249</t>
  </si>
  <si>
    <t>42130970</t>
  </si>
  <si>
    <t>MDF-DU500VH-PE</t>
  </si>
  <si>
    <t>17090110</t>
  </si>
  <si>
    <t>MDF-DU702VX</t>
  </si>
  <si>
    <t>17070064</t>
  </si>
  <si>
    <t>17070059</t>
  </si>
  <si>
    <t>AB 3500</t>
  </si>
  <si>
    <t>Claire PRO B-2-130</t>
  </si>
  <si>
    <t>Zamrażarki niskotemperaturowe</t>
  </si>
  <si>
    <t>PLATINUM 340 V-4STD</t>
  </si>
  <si>
    <t>Wykonawca posiada uprawnienia serwisowe lub szkolenia serwisowe wystawione przez co najmniej 1-go (dowolnego) producenta zamrażarek niskotemperaturowych, potwierdzające uprawnienia do wykonywania czynności serwisowych.</t>
  </si>
  <si>
    <t>Wykonawca posiada uprawnienia serwisowe lub szkolenia serwisowe wystawione przez co najmniej 1-go (dowolnego) producenta wirówek laboratoryjnych, potwierdzające uprawnienia do wykonywania czynności serwisowych.</t>
  </si>
  <si>
    <t>Wirówki laboratoryjne Heraeus</t>
  </si>
  <si>
    <t>Nr ser.</t>
  </si>
  <si>
    <t xml:space="preserve">Przegląd zostanie udokumentowany kartą pracy/raportem serwisowym. Koszt przeglądu obejmuje koszty dojazdu lub wysyłki (wysyłka w 5 rzutach po kilkanaście pipet). </t>
  </si>
  <si>
    <t>Wykonawca posiada uprawnienia serwisowe lub szkolenia serwisowe wystawione przez co najmniej 1-go (dowolnego) producenta aparatów EKG, uprawniające do wykonywania przeglądów i napraw.</t>
  </si>
  <si>
    <t>Wykonawca posiada uprawnienia serwisowe lub szkolenia serwisowe wystawione przez co najmniej 1-go (dowolnego) producenta urządzeń histopatologicznych, uprawniające do wykonywania przeglądów i napraw.</t>
  </si>
  <si>
    <t>Force Triad</t>
  </si>
  <si>
    <t>Wykonawca posiada uprawnienia serwisowe lub szkolenia serwisowe wystawione przez co najmniej 1-go (dowolnego) producenta robytycznych pozycjonerów optyki, uprawniające do wykonywania przeglądów i napraw.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</si>
  <si>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Wykonawca ponosi pełną odpowiedzialność za przewożony sprzęt.</t>
  </si>
  <si>
    <t xml:space="preserve"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wymianę baterii. </t>
  </si>
  <si>
    <t>GC-44000091 (CF-3C120730)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</si>
  <si>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</t>
  </si>
  <si>
    <t>Przedmiot:</t>
  </si>
  <si>
    <t>Temat:</t>
  </si>
  <si>
    <t>NIP:</t>
  </si>
  <si>
    <t>REGON:</t>
  </si>
  <si>
    <t>ulica:</t>
  </si>
  <si>
    <t>kod:</t>
  </si>
  <si>
    <t>miejscowość:</t>
  </si>
  <si>
    <t>Cena brutto:</t>
  </si>
  <si>
    <t>Szczegółowy podział zadania:</t>
  </si>
  <si>
    <t>Kwota VAT:</t>
  </si>
  <si>
    <t>cena brutto słownie:</t>
  </si>
  <si>
    <t>tel</t>
  </si>
  <si>
    <t>fax</t>
  </si>
  <si>
    <t>Nazwa Wykonawcy:</t>
  </si>
  <si>
    <t>e-mail</t>
  </si>
  <si>
    <t>Nr</t>
  </si>
  <si>
    <t>Nazwa/ Model</t>
  </si>
  <si>
    <t>Nr seryjny</t>
  </si>
  <si>
    <t>Rok produkcji</t>
  </si>
  <si>
    <t>Przegląd do</t>
  </si>
  <si>
    <t>Cena netto</t>
  </si>
  <si>
    <t>Stawka podatku VAT</t>
  </si>
  <si>
    <t>Cena brutto</t>
  </si>
  <si>
    <t>AsCARD Mr BLUE</t>
  </si>
  <si>
    <t>150/06</t>
  </si>
  <si>
    <t>228/07/A</t>
  </si>
  <si>
    <t>703/08</t>
  </si>
  <si>
    <t>227/07/A</t>
  </si>
  <si>
    <t>DELTA +</t>
  </si>
  <si>
    <t>MVis000377</t>
  </si>
  <si>
    <t>M-Trace</t>
  </si>
  <si>
    <t>Cena brutto razem:</t>
  </si>
  <si>
    <t>Pipety</t>
  </si>
  <si>
    <t>Mikroskopy</t>
  </si>
  <si>
    <t>Ciśnieniomierze</t>
  </si>
  <si>
    <t>711</t>
  </si>
  <si>
    <t>2500733L</t>
  </si>
  <si>
    <t>017409</t>
  </si>
  <si>
    <t>2500744L</t>
  </si>
  <si>
    <t>81001903</t>
  </si>
  <si>
    <t xml:space="preserve"> TMA-30 PRO</t>
  </si>
  <si>
    <t>01966</t>
  </si>
  <si>
    <t>elektroniczny</t>
  </si>
  <si>
    <t>11742</t>
  </si>
  <si>
    <t>0137013366</t>
  </si>
  <si>
    <t>HS-60B</t>
  </si>
  <si>
    <t>090702010</t>
  </si>
  <si>
    <t>050712200</t>
  </si>
  <si>
    <t>040602010</t>
  </si>
  <si>
    <t>Intermed</t>
  </si>
  <si>
    <t>26102012321</t>
  </si>
  <si>
    <t>KDS-1</t>
  </si>
  <si>
    <t>090546</t>
  </si>
  <si>
    <t>M3</t>
  </si>
  <si>
    <t>20070626197LF</t>
  </si>
  <si>
    <t>20070626198LF</t>
  </si>
  <si>
    <t>20111001061VG</t>
  </si>
  <si>
    <t>20120205529VG</t>
  </si>
  <si>
    <t>20131105585VG</t>
  </si>
  <si>
    <t>M4</t>
  </si>
  <si>
    <t>3604740L</t>
  </si>
  <si>
    <t>M4 Plus</t>
  </si>
  <si>
    <t>20080604911LF</t>
  </si>
  <si>
    <t>M6</t>
  </si>
  <si>
    <t>20080504114VF</t>
  </si>
  <si>
    <t>20070211914</t>
  </si>
  <si>
    <t>20110504416VG</t>
  </si>
  <si>
    <t>20120809891LG</t>
  </si>
  <si>
    <t>M6 Comfort</t>
  </si>
  <si>
    <t>20081002063VF</t>
  </si>
  <si>
    <t>20091221042VP</t>
  </si>
  <si>
    <t>2009122104VP</t>
  </si>
  <si>
    <t>20101221371LF</t>
  </si>
  <si>
    <t>20101221372LF</t>
  </si>
  <si>
    <t>20151012895VG</t>
  </si>
  <si>
    <t>20151012894VG</t>
  </si>
  <si>
    <t>Med-1</t>
  </si>
  <si>
    <t>0003261</t>
  </si>
  <si>
    <t>0003264</t>
  </si>
  <si>
    <t>Precision BPM</t>
  </si>
  <si>
    <t>000813</t>
  </si>
  <si>
    <t>stołowy</t>
  </si>
  <si>
    <t>01260509</t>
  </si>
  <si>
    <t>01250509</t>
  </si>
  <si>
    <t>02410509</t>
  </si>
  <si>
    <t>02420509</t>
  </si>
  <si>
    <t>01270509</t>
  </si>
  <si>
    <t>01230509</t>
  </si>
  <si>
    <t>Tech-med</t>
  </si>
  <si>
    <t>002415</t>
  </si>
  <si>
    <t>TENS-1</t>
  </si>
  <si>
    <t>865690</t>
  </si>
  <si>
    <t>9907237</t>
  </si>
  <si>
    <t>TMA-3BASIC</t>
  </si>
  <si>
    <t>021407802</t>
  </si>
  <si>
    <t>021407818</t>
  </si>
  <si>
    <t>TM-SZ</t>
  </si>
  <si>
    <t>0602</t>
  </si>
  <si>
    <t>0196</t>
  </si>
  <si>
    <t>0193</t>
  </si>
  <si>
    <t>0192</t>
  </si>
  <si>
    <t>0195</t>
  </si>
  <si>
    <t>1971</t>
  </si>
  <si>
    <t>0215</t>
  </si>
  <si>
    <t>0754</t>
  </si>
  <si>
    <t>1340</t>
  </si>
  <si>
    <t>1945</t>
  </si>
  <si>
    <t>zegarowy</t>
  </si>
  <si>
    <t>088107925</t>
  </si>
  <si>
    <t>9907558</t>
  </si>
  <si>
    <t>9905561</t>
  </si>
  <si>
    <t>9907225</t>
  </si>
  <si>
    <t>zegarowy INCO</t>
  </si>
  <si>
    <t>02803842</t>
  </si>
  <si>
    <t>97100050</t>
  </si>
  <si>
    <t>97100148</t>
  </si>
  <si>
    <t>98050020</t>
  </si>
  <si>
    <t>97020712</t>
  </si>
  <si>
    <t>97110160</t>
  </si>
  <si>
    <t>Przegląd zgodny z wymaganiami producenta obejmujący min.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producenta. Koszt przeglądu obejmuje koszty dojazdu.</t>
  </si>
  <si>
    <t>Wykonawca posiada uprawnienia serwisowe lub szkolenia serwisowe wystawione przez co najmniej 1-go (dowolnego) producenta ciśnieniomierzy, uprawniające do wykonywania przeglądów i napraw.</t>
  </si>
  <si>
    <t>Sparq</t>
  </si>
  <si>
    <t>583153BU2</t>
  </si>
  <si>
    <t>2020-09-30, drugi po 6 miesiącach</t>
  </si>
  <si>
    <t>2020-06-23, drugi po 6 miesiącach</t>
  </si>
  <si>
    <t>2020-07-09, drugi po 6 miesiącach</t>
  </si>
  <si>
    <t xml:space="preserve">2020-08-30, drugi po 6 miesiącach </t>
  </si>
  <si>
    <t>2020-07-31, drugi po 6 miesiącach</t>
  </si>
  <si>
    <t>Mammotome Revolve</t>
  </si>
  <si>
    <t>MSCM1001373</t>
  </si>
  <si>
    <t>Image1 S</t>
  </si>
  <si>
    <t>XS01524</t>
  </si>
  <si>
    <t>Zestawy endoskopowe Karl Storz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</si>
  <si>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Wykonawca w ramach przeglądu zobowiązuje się do przygotowania bieżących zaleceń eksploatacyjnych związanych ze stanem aparatów, instrumentów oraz ich dalszym użytkowaniem. Wykonawca zobowiązuje się do wykonania ekspertyz technicznych związanych z wykrytymi usterkami oraz kosztorysu naprawy.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</si>
  <si>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 wraz z instrumentami,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Wykonawca w ramach przeglądu zobowiązuje się do przygotowania bieżących zaleceń eksploatacyjnych związanych ze stanem aparatu, instrumentów oraz ich dalszym użytkowaniem. Wykonawca zobowiązuje się do wykonania ekspertyz technicznych związanych z wykrytymi usterkami oraz kosztorysu naprawy. Koszt przeglądu obejmuje koszty dojazdu.</t>
  </si>
  <si>
    <t>Detektor promieniowania gamma</t>
  </si>
  <si>
    <t>Wprobe LAP</t>
  </si>
  <si>
    <t>Generator do termoablacji</t>
  </si>
  <si>
    <t>Solero MTA</t>
  </si>
  <si>
    <t>QBY0002479</t>
  </si>
  <si>
    <t>Przegląd zostanie udokumentowany kartą pracy/raportem serwisowym, oraz wpisem do paszportu technicznego. Aparat zostanie oznakowany nalepką z terminem wykonania kolejnego przeglądu. Koszt przeglądu obejmuje koszty dojazdu lub wysyłki. W przypadku wysyłki Wykonawca ponosi pełną odpowiedzialność za przewożony sprzęt.</t>
  </si>
  <si>
    <t>Performer hipertermii</t>
  </si>
  <si>
    <t>Performer HT</t>
  </si>
  <si>
    <t>System obrazowania VS3 Iridium</t>
  </si>
  <si>
    <t>VS3 Iridium</t>
  </si>
  <si>
    <t>353-0426</t>
  </si>
  <si>
    <t>Robotyczny pozycjoner optyki</t>
  </si>
  <si>
    <t>Endocontrol Viky</t>
  </si>
  <si>
    <t>CX0807-17080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</si>
  <si>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zasilaczy w 5 pompach Space (nr ser.: 29725, 51128, 137158, 155545, 246667) . Koszt przeglądu obejmuje koszty dojazdu.</t>
  </si>
  <si>
    <t>Kardiostymulator zewnętrzny</t>
  </si>
  <si>
    <t>MIP-801</t>
  </si>
  <si>
    <r>
  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producenta. </t>
    </r>
    <r>
      <rPr>
        <b/>
        <sz val="10"/>
        <rFont val="Arial CE"/>
        <charset val="238"/>
      </rPr>
      <t>Koszt przeglądu obejmuje koszty dojazdu.</t>
    </r>
  </si>
  <si>
    <t>Przegląd zostanie udokumentowany kartą pracy/raportem serwisowym, oraz wpisem do paszportu technicznego. Aparat zostanie oznakowany nalepką z terminem wykonania kolejnego przeglądu.</t>
  </si>
  <si>
    <t>Wykonawca posiada uprawnienia serwisowe lub szkolenia serwisowe wystawione przez co najmniej 1-go (dowolnego) producenta kardiostymulatorów, uprawniające do wykonywania przeglądów i napraw.</t>
  </si>
  <si>
    <t>Respiratory transportowe</t>
  </si>
  <si>
    <t>Medumat Easy CPR</t>
  </si>
  <si>
    <t>3850</t>
  </si>
  <si>
    <t>3957</t>
  </si>
  <si>
    <t>3956</t>
  </si>
  <si>
    <t>3979</t>
  </si>
  <si>
    <t>3954</t>
  </si>
  <si>
    <t>Wykonawca posiada uprawnienia serwisowe lub szkolenia serwisowe wystawione przez co najmniej 1-go (dowolnego) producenta respiratorów transportowych, uprawniające do wykonywania przeglądów i napraw.</t>
  </si>
  <si>
    <t>Inkubator, wirówka Bio-Rad</t>
  </si>
  <si>
    <t>37 SI</t>
  </si>
  <si>
    <t>12 SII</t>
  </si>
  <si>
    <t>2003346</t>
  </si>
  <si>
    <t>2003614</t>
  </si>
  <si>
    <t>Termomiksery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</si>
  <si>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Pomiary kontrolne prędkości i laminarności przepływu oraz klas czystości powietrza w przestrzni roboczej komory/nawiewu i w pomieszczeniu, sprawdzenie klasy czystości powietrza w pomieszczeniu, w którym pracuje komora. Przegląd obejmuje wymianę filtra głównego (komplet 6-ciu filtrów kapsułkowych pod blatem roboczym) w komorach o nr ser. 1013100367, 1013100368 oraz wykonanie niezbędnych pomiarów i kalibracji ustawień komory. Koszt przeglądu obejmuje koszty dojazdu.</t>
  </si>
  <si>
    <t>Termocyklery PCR firmy Termo Scientific</t>
  </si>
  <si>
    <t>Veriti 96-Well</t>
  </si>
  <si>
    <t>2990236012</t>
  </si>
  <si>
    <t>2990236211</t>
  </si>
  <si>
    <t>2990236209</t>
  </si>
  <si>
    <t>2990236212</t>
  </si>
  <si>
    <t>Wykonawca posiada uprawnienia serwisowe lub szkolenia serwisowe wystawione przez co najmniej 1-go (dowolnego) producenta termocyklerów, potwierdzające uprawnienia do wykonywania czynności serwisowych.</t>
  </si>
  <si>
    <t>Urządzenie ViiA 7</t>
  </si>
  <si>
    <t>ViiA 7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</si>
  <si>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aparatu z deklarowanymi przez producenta, sprawdzenie poprawności działania zgodnie z normami bezpieczeństwa zalecanymi przez producenta, konserwację zgodnie z zaleceniami producenta. Przegląd obejmuje min. wymianę zestawu serwisowego wymienionego w instrukcji obsługi. Koszt przeglądu obejmuje koszty dojazdu.</t>
  </si>
  <si>
    <t>Stół operacyjny Saturn Select</t>
  </si>
  <si>
    <t>Saturn Select K</t>
  </si>
  <si>
    <t>Lampy operacyjne</t>
  </si>
  <si>
    <t>Mach LED 5 SC</t>
  </si>
  <si>
    <t>Chromophare D650plus</t>
  </si>
  <si>
    <t>11/03663 11/09154</t>
  </si>
  <si>
    <t>Mach M3</t>
  </si>
  <si>
    <t>05/0723</t>
  </si>
  <si>
    <t>Wykonawca posiada uprawnienia serwisowe lub szkolenia serwisowe wystawione przez co najmniej 1-go (dowolnego) producenta lamp operacyjnych, potwierdzające uprawnienia do wykonywania czynności serwisowych.</t>
  </si>
  <si>
    <t>US61310230</t>
  </si>
  <si>
    <t>Aparat do znieczulania Mindray</t>
  </si>
  <si>
    <t>Multix Fusion Digital</t>
  </si>
  <si>
    <t>Luminos dRF Max</t>
  </si>
  <si>
    <t>Przeglądy zgodne z wymaganiami producenta obejmujące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wymianę żarówki w aparacie Mobilett XP, testy bezpieczeństwa elektrycznego. Koszt przeglądów obejmuje koszty dojazdu.</t>
  </si>
  <si>
    <t>Urządzenia do biopsji mammotomicznej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</si>
  <si>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elektrycznego, przygotowanie szczegółowego protokołu z przeglądu zawierającego wyniki pomiarów.</t>
  </si>
  <si>
    <t>System transportu pacjenta</t>
  </si>
  <si>
    <t>Zephyr ZTG-4</t>
  </si>
  <si>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</si>
  <si>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TAK</t>
  </si>
  <si>
    <t>Kriostat LEICA CM1900</t>
  </si>
  <si>
    <t>Mikrotom LEICA RM2135</t>
  </si>
  <si>
    <t>Mikrotom LEICA SM2000R</t>
  </si>
  <si>
    <t>Mikrotom HM450</t>
  </si>
  <si>
    <t>Mikrotom HM 340E + STS</t>
  </si>
  <si>
    <t>Procesor tkankowy Excelsior</t>
  </si>
  <si>
    <t>EX24250707</t>
  </si>
  <si>
    <t>Barwiarka Varistain Gemini</t>
  </si>
  <si>
    <t>PH1059E0706</t>
  </si>
  <si>
    <t>Zaklejarka GCS 600</t>
  </si>
  <si>
    <t>Mammograf, kardiomonitor GE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</si>
  <si>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czujników tlenu we wszystkich respiratorach.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</si>
  <si>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zestawu serwisowego. Koszt przeglądu obejmuje koszty dojazdu.</t>
  </si>
  <si>
    <t>Myjnia dezynfektor do kaczek i basenów Franke</t>
  </si>
  <si>
    <t>DEKO 190</t>
  </si>
  <si>
    <t>0847V180.PL01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</si>
  <si>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 – filter formaldehyde – 2 szt., filter vapour, akumulator 12V/12Ah – 2 szt. do procesora Excelsior, filter vapour, akumulator 12V/12Ah do barwiarki Gemini. Koszt przeglądu obejmuje koszty dojazdu.</t>
  </si>
  <si>
    <t>BSD-500</t>
  </si>
  <si>
    <t>080922-033</t>
  </si>
  <si>
    <t>BF-1T160</t>
  </si>
  <si>
    <t>GIF-Q180</t>
  </si>
  <si>
    <t>URF-P5</t>
  </si>
  <si>
    <t>W900431</t>
  </si>
  <si>
    <t>Mini ETD-2 GA</t>
  </si>
  <si>
    <t>Mini ETD</t>
  </si>
  <si>
    <t>Ceralas D50</t>
  </si>
  <si>
    <t>2416-G</t>
  </si>
  <si>
    <t>Przegląd zgodny z wymaganiami producenta obejmujący min. czyszczenie,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</si>
  <si>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Optistar Elite</t>
  </si>
  <si>
    <t>CI0610D008</t>
  </si>
  <si>
    <t>BF-XT160</t>
  </si>
  <si>
    <t>CYF-VHA</t>
  </si>
  <si>
    <t>GIF-H190</t>
  </si>
  <si>
    <t>2014</t>
  </si>
  <si>
    <t>APC2</t>
  </si>
  <si>
    <t>11383082</t>
  </si>
  <si>
    <t>11379886</t>
  </si>
  <si>
    <t>Flex Focus 800</t>
  </si>
  <si>
    <t>040413</t>
  </si>
  <si>
    <t>Mikrotom HM 340E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</si>
  <si>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</si>
  <si>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Primus + monitor Infinity Delta</t>
  </si>
  <si>
    <t>ASAK-0172</t>
  </si>
  <si>
    <t>Falcon SE</t>
  </si>
  <si>
    <t>ES 120</t>
  </si>
  <si>
    <t>ES 300</t>
  </si>
  <si>
    <t>FORCE EZ</t>
  </si>
  <si>
    <t>F0I4536B</t>
  </si>
  <si>
    <t>FORCE EZ-8C</t>
  </si>
  <si>
    <t>F7L10768B</t>
  </si>
  <si>
    <t>Sprzęt monitorowania parametrów życiowych</t>
  </si>
  <si>
    <t>Przegląd serwisowy zgodny z wymaganiami producenta aparatu zawierający min. czyszczenie wnętrza aparatu, wentylatorów, filtrów i trackball’a, sprawdzenie i poprawę styków elektrycznych, sprawdzenie urządzeń peryferyjnych, testy głowic, konserwację zgodnie z zaleceniami producenta, testy bezpieczeństwa elektrycznego. Koszt przeglądu obejmuje koszty dojazdu.</t>
  </si>
  <si>
    <t>Falcon 2101 EXL</t>
  </si>
  <si>
    <t>Hawk 2102</t>
  </si>
  <si>
    <t>Vela</t>
  </si>
  <si>
    <t>AGT01324</t>
  </si>
  <si>
    <t>Wykonawca posiada uprawnienia serwisowe lub szkolenia serwisowe wystawione przez co najmniej 1-go (dowolnego) producenta komór laminarnych, potwierdzające uprawnienia do wykonywania czynności serwisowych.</t>
  </si>
  <si>
    <t>Wykonawca posiada uprawnienia serwisowe lub szkolenia serwisowe wystawione przez co najmniej 1-go (dowolnego) producenta urządzeń do PCR, potwierdzające uprawnienia do wykonywania czynności serwisowych.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</si>
  <si>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wyłączników krańcowych w 2 szt. drzwi (01 57/06, 02 57/06). Przegląd drzwi może być wykonany po godz. 18 od poniedziałku do piątku oraz w soboty, przegląd stołu może być wykonany po godz. 15. Koszt przeglądu obejmuje koszty dojazdu.</t>
  </si>
  <si>
    <t>Komory laminarne BioBan</t>
  </si>
  <si>
    <t>Poszczególne przeglądy zostaną udokumentowane kartą pracy/raportem serwisowym. Aparaty zostaną oznakowane nalepką z terminem wykonania kolejnego przeglądu.</t>
  </si>
  <si>
    <t>Wykonawca posiada uprawnienia serwisowe lub szkolenia serwisowe wystawione przez producenta ww. systemów lub autoryzowanego przedstawiciela, uprawniające do wykonywania przeglądów i napraw.</t>
  </si>
  <si>
    <r>
  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</t>
    </r>
    <r>
      <rPr>
        <b/>
        <sz val="10"/>
        <rFont val="Arial CE"/>
        <charset val="238"/>
      </rPr>
      <t>Koszt przeglądu obejmuje koszty dojazdu.</t>
    </r>
  </si>
  <si>
    <t>Logiq 7 R75X</t>
  </si>
  <si>
    <t>36207YU9</t>
  </si>
  <si>
    <t>39043YU5</t>
  </si>
  <si>
    <t>Logiq Book XP</t>
  </si>
  <si>
    <t>49446WX8</t>
  </si>
  <si>
    <t>W-77100622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</si>
  <si>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</t>
  </si>
  <si>
    <t>BX5C-0315AIOQ</t>
  </si>
  <si>
    <t>BX5C-0316FIQQ</t>
  </si>
  <si>
    <t>BX5C-0317FIOQ</t>
  </si>
  <si>
    <t>Cardio-Aid 200-B</t>
  </si>
  <si>
    <t>CI0312B517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</si>
  <si>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 Wykonawca ponosi pełną odpowiedzialność za przewożony sprzęt. Na czas przeglądu Mammotome Revolve należy zapewnić aparat zastępczy wraz z akcesoriami.</t>
  </si>
  <si>
    <t>Nr 06 seria 44/03</t>
  </si>
  <si>
    <t>Przegląd zgodny z wymaganiami producenta obejmujący min. czyszczenie, sprawdzenie bezpieczeństwa mechanicznego i elektrycznego, oczyszczenie dróg chłodzenia, smarowanie ruchomych części mechanicznych, sprawdzenie i porządkowanie oprogramowania systemowego,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bezpieczeństwa elektrycznego w niezbędnym zakresie. W ramach przeglądu dostawa i wymiana węży przedłużających systemu wodnego WCS. Koszt przeglądu obejmuje koszty dojazdu.</t>
  </si>
  <si>
    <t>Łóżka intensywnej opieki medycznej</t>
  </si>
  <si>
    <t>Poszczególne przeglądy zostaną udokumentowane kartą pracy/raportem serwisowym, oraz wpisem do paszportu technicznego, a wyniki testu bezpieczeństwa elektrycznego na oddzielnym protokole. Łóżka zostaną oznakowane nalepką z terminem wykonania kolejnego przeglądu. Koszt przeglądu obejmuje koszty dojazdu.</t>
  </si>
  <si>
    <t>Wstrzykiwacze kontrastu</t>
  </si>
  <si>
    <t>Urządzenia laboratoryjne Becton Dickinson</t>
  </si>
  <si>
    <t>Phoenix M50</t>
  </si>
  <si>
    <t>Bactec FX40</t>
  </si>
  <si>
    <t>PF0440</t>
  </si>
  <si>
    <t>FF2639</t>
  </si>
  <si>
    <t>FF2640</t>
  </si>
  <si>
    <t>Wykonawca posiada uprawnienia serwisowe lub szkolenia serwisowe wystawione przez co najmniej 1-go (dowolnego) producenta aparatów do posiewu krwi, uprawniające do wykonywania przeglądów i napraw.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</si>
  <si>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Przegląd obejmuje min. wymianę części zamiennnych w aparacie Phoenix M50 (Phoenix Normalizer Panel - 2 szt.).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</si>
  <si>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łóżek, sprawdzenie zgodności parametrów funkcjonalnych łóżek z deklarowanymi przez producenta, sprawdzenie poprawności działania zgodnie z normami bezpieczeństwa zalecanymi przez producenta, konserwację zgodnie z zaleceniami producenta, testy bezpieczeństwa elektrycznego.</t>
  </si>
  <si>
    <t>668486BU4</t>
  </si>
  <si>
    <t>Wykonawca posiada uprawnienia serwisowe lub szkolenia serwisowe wystawione przez producenta wymienionych wyżej łóżek, uprawniające do wykonywania przeglądów i napraw.</t>
  </si>
  <si>
    <t>Aparat do znieczulania Taema</t>
  </si>
  <si>
    <t>Clarys 2000</t>
  </si>
  <si>
    <t>C1587</t>
  </si>
  <si>
    <t>Przegląd zostanie udokumentowany kartą pracy/raportem serwisowym, oraz wpisem do paszportu technicznego, a wyniki testu bezpieczeństwa elektrycznego na oddzielnym protokole. Aparat zostanie oznakowany nalepką z terminem wykonania kolejnego przeglądu.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</si>
  <si>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aparatu z deklarowanymi przez producenta, sprawdzenie poprawności działania zgodnie z normami bezpieczeństwa zalecanymi przez producenta, konserwację zgodnie z zaleceniami producenta, testy bezpieczeństwa elektrycznego. Przegląd obejmuje min. wymianę zestawu serwisowego wymienionego w instrukcji obsługi oraz czujnika tlenu. Koszt przeglądu obejmuje koszty dojazdu.</t>
  </si>
  <si>
    <t>Stacja do zatapiania tkanek Histostar</t>
  </si>
  <si>
    <t>HS3139A1511</t>
  </si>
  <si>
    <t>CI0107B519</t>
  </si>
  <si>
    <t>Wykonawca posiada uprawnienia serwisowe lub szkolenia serwisowe wystawione przez co najmniej 1-go (dowolnego) producenta sprzętu endoskopowego, uprawniające do wykonywania przeglądów i napraw.</t>
  </si>
  <si>
    <t>Wykonawca posiada uprawnienia serwisowe lub szkolenia serwisowe wystawione przez co najmniej 1-go (dowolnego) producenta laserów do zastosowań medycznych,uprawniające do wykonywania przeglądów i napraw.</t>
  </si>
  <si>
    <t>Wykonawca posiada uprawnienia serwisowe lub szkolenia serwisowe wystawione przez co najmniej 1-go (dowolnego) producenta wstrzykiwaczy kontrastu, uprawniające do wykonywania przeglądów i napraw.</t>
  </si>
  <si>
    <t>Wykonawca posiada uprawnienia serwisowe lub szkolenia serwisowe wystawione przez producenta ww. aparatów lub autoryzowanego przedstawiciela, uprawniające do wykonywania przeglądów i napraw.</t>
  </si>
  <si>
    <t>Wykonawca posiada uprawnienia serwisowe lub szkolenia serwisowe wystawione przez co najmniej 1-go producenta z wymienionych wyżej aparatów USG, uprawniające do wykonywania przeglądów i napraw.</t>
  </si>
  <si>
    <t>Wykonawca posiada uprawnienia serwisowe lub szkolenia serwisowe wystawione przez co najmniej 1-go (dowolnego) producenta detektorów promieniowania gamma, uprawniające do wykonywania przeglądów i napraw.</t>
  </si>
  <si>
    <t>Wykonawca posiada uprawnienia serwisowe lub szkolenia serwisowe wystawione przez co najmniej 1-go (dowolnego) producenta kardiomonitorów, uprawniające do wykonywania przeglądów i napraw.</t>
  </si>
  <si>
    <t>Wykonawca posiada uprawnienia serwisowe lub szkolenia serwisowe wystawione przez co najmniej 1-go (dowolnego) producenta defibrylatorów, uprawniające do wykonywania przeglądów i napraw.</t>
  </si>
  <si>
    <t>Wykonawca posiada uprawnienia serwisowe lub szkolenia serwisowe wystawione przez co najmniej 1-go (dowolnego) producenta myjni-dezynfektorów, uprawniające do wykonywania przeglądów i napraw.</t>
  </si>
  <si>
    <t>Wykonawca posiada uprawnienia serwisowe lub szkolenia serwisowe wystawione przez co najmniej 1-go (dowolnego) producenta inkubatorów CO2, uprawniające do wykonywania przeglądów i napraw.</t>
  </si>
  <si>
    <t>Wykonawca posiada uprawnienia serwisowe lub szkolenia serwisowe wystawione przez co najmniej 1-go (dowolnego) producenta cytometrów, uprawniające do wykonywania przeglądów i napraw.</t>
  </si>
  <si>
    <t>Wykonawca posiada uprawnienia serwisowe lub szkolenia serwisowe wystawione przez co najmniej 1-go (dowolnego) producenta urządzenia do suchego rozmrażania osocza, uprawniające do wykonywania przeglądów i napraw.</t>
  </si>
  <si>
    <t>Wykonawca posiada uprawnienia serwisowe lub szkolenia serwisowe wystawione przez co najmniej 1-go (dowolnego) producenta myjni-dezynfektora, uprawniające do wykonywania przeglądów i napraw.</t>
  </si>
  <si>
    <t>Wykonawca posiada uprawnienia serwisowe lub szkolenia serwisowe wystawione przez co najmniej 1-go (dowolnego) producenta drukarek do klisz, uprawniające do wykonywania przeglądów i napraw.</t>
  </si>
  <si>
    <t>T4C40440EX</t>
  </si>
  <si>
    <t>Force Argon II-8</t>
  </si>
  <si>
    <t>G4D2949UX</t>
  </si>
  <si>
    <t>M Series</t>
  </si>
  <si>
    <t>T07B87735</t>
  </si>
  <si>
    <t>Sterrad 100NX</t>
  </si>
  <si>
    <t>Selectomat PL 966-2H</t>
  </si>
  <si>
    <t>B110824</t>
  </si>
  <si>
    <t>B110825</t>
  </si>
  <si>
    <t>VIO 300D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</si>
  <si>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części przewidzianych przez producenta do wymiany podczas przeglądu okresowego. Koszt przeglądu obejmuje koszty dojazdu.</t>
  </si>
  <si>
    <t>C-[MaxPro]3-130</t>
  </si>
  <si>
    <t>Minifil</t>
  </si>
  <si>
    <t>29081/06</t>
  </si>
  <si>
    <t>Lamil Plus 10</t>
  </si>
  <si>
    <t>3153/06</t>
  </si>
  <si>
    <t>Barwiarka, zaklejarka Sakura</t>
  </si>
  <si>
    <t>Wykonawca posiada uprawnienia serwisowe lub szkolenia serwisowe wystawione przez co najmniej 1-go (dowolnego) producenta barwiarek i zaklejarek, potwierdzające uprawnienia do wykonywania czynności serwisowych.</t>
  </si>
  <si>
    <t>801-13-37</t>
  </si>
  <si>
    <t>3L15597</t>
  </si>
  <si>
    <t>CX-41</t>
  </si>
  <si>
    <t>OE29063</t>
  </si>
  <si>
    <t>OL33049</t>
  </si>
  <si>
    <t>VB 350K HUND</t>
  </si>
  <si>
    <t>Zeiss</t>
  </si>
  <si>
    <t>857956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</si>
  <si>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</si>
  <si>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Mobilett XP Hybrid</t>
  </si>
  <si>
    <t>MammoTest</t>
  </si>
  <si>
    <t>Senographe Essential</t>
  </si>
  <si>
    <t xml:space="preserve"> --</t>
  </si>
  <si>
    <t>Aparatura do histopatologii I</t>
  </si>
  <si>
    <t>Sprzęt endoskopowy Olympus</t>
  </si>
  <si>
    <t>Ziehm Vision RFD</t>
  </si>
  <si>
    <t xml:space="preserve">Okresowe przeglądy techniczne aparatury i sprzętu medycznego </t>
  </si>
  <si>
    <t>ZP-271-16/20</t>
  </si>
  <si>
    <t>nazwa banku i nr rachunku: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</si>
</sst>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  <numFmt numFmtId="166" formatCode="yyyy/mm/dd;@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sz val="8"/>
      <color indexed="81"/>
      <name val="Tahoma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Border="1" applyProtection="1"/>
    <xf numFmtId="0" fontId="2" fillId="0" borderId="0" xfId="0" applyFont="1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 applyProtection="1">
      <alignment wrapText="1"/>
    </xf>
    <xf numFmtId="0" fontId="2" fillId="0" borderId="0" xfId="0" applyFont="1" applyBorder="1" applyAlignment="1" applyProtection="1"/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0" fillId="0" borderId="1" xfId="0" applyBorder="1" applyAlignment="1" applyProtection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 applyProtection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Border="1" applyAlignment="1" applyProtection="1">
      <alignment horizontal="right"/>
    </xf>
    <xf numFmtId="164" fontId="0" fillId="0" borderId="1" xfId="8" applyNumberFormat="1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right" vertical="top"/>
    </xf>
    <xf numFmtId="0" fontId="0" fillId="0" borderId="0" xfId="0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left" wrapText="1"/>
      <protection locked="0"/>
    </xf>
    <xf numFmtId="49" fontId="2" fillId="2" borderId="1" xfId="0" applyNumberFormat="1" applyFont="1" applyFill="1" applyBorder="1" applyAlignment="1" applyProtection="1">
      <alignment horizontal="left"/>
      <protection locked="0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9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64" fontId="9" fillId="0" borderId="0" xfId="0" applyNumberFormat="1" applyFont="1" applyBorder="1" applyProtection="1"/>
    <xf numFmtId="0" fontId="9" fillId="0" borderId="1" xfId="0" applyFont="1" applyBorder="1" applyAlignment="1">
      <alignment vertical="center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/>
    </xf>
    <xf numFmtId="49" fontId="9" fillId="0" borderId="1" xfId="0" applyNumberFormat="1" applyFont="1" applyBorder="1"/>
    <xf numFmtId="0" fontId="0" fillId="0" borderId="0" xfId="0" applyBorder="1" applyAlignment="1" applyProtection="1">
      <alignment horizontal="right" wrapText="1"/>
    </xf>
    <xf numFmtId="0" fontId="3" fillId="0" borderId="0" xfId="0" applyFont="1" applyBorder="1" applyAlignment="1" applyProtection="1">
      <alignment horizontal="right" wrapText="1"/>
    </xf>
    <xf numFmtId="49" fontId="9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1" xfId="0" applyFont="1" applyBorder="1" applyAlignment="1">
      <alignment vertical="top" wrapText="1"/>
    </xf>
    <xf numFmtId="14" fontId="9" fillId="0" borderId="1" xfId="0" applyNumberFormat="1" applyFont="1" applyBorder="1" applyAlignment="1">
      <alignment horizontal="center"/>
    </xf>
    <xf numFmtId="0" fontId="14" fillId="0" borderId="1" xfId="1" applyFont="1" applyBorder="1"/>
    <xf numFmtId="0" fontId="14" fillId="0" borderId="1" xfId="4" applyFont="1" applyBorder="1"/>
    <xf numFmtId="0" fontId="15" fillId="0" borderId="1" xfId="2" applyFont="1" applyBorder="1"/>
    <xf numFmtId="0" fontId="15" fillId="0" borderId="1" xfId="2" applyFont="1" applyBorder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14" fillId="0" borderId="1" xfId="3" applyFont="1" applyBorder="1"/>
    <xf numFmtId="14" fontId="14" fillId="0" borderId="1" xfId="4" applyNumberFormat="1" applyFont="1" applyBorder="1"/>
    <xf numFmtId="0" fontId="9" fillId="0" borderId="1" xfId="0" applyFont="1" applyFill="1" applyBorder="1"/>
    <xf numFmtId="0" fontId="14" fillId="0" borderId="1" xfId="1" applyFont="1" applyBorder="1" applyAlignment="1">
      <alignment horizontal="center"/>
    </xf>
    <xf numFmtId="0" fontId="14" fillId="3" borderId="1" xfId="6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4" fillId="0" borderId="1" xfId="5" applyFont="1" applyBorder="1"/>
    <xf numFmtId="14" fontId="14" fillId="0" borderId="1" xfId="5" applyNumberFormat="1" applyFont="1" applyBorder="1"/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right" vertical="center" wrapText="1"/>
    </xf>
    <xf numFmtId="0" fontId="14" fillId="0" borderId="1" xfId="5" applyFont="1" applyBorder="1" applyAlignment="1">
      <alignment horizontal="center"/>
    </xf>
    <xf numFmtId="49" fontId="9" fillId="0" borderId="1" xfId="0" applyNumberFormat="1" applyFont="1" applyBorder="1" applyAlignment="1">
      <alignment horizontal="right" vertical="center" wrapText="1"/>
    </xf>
    <xf numFmtId="49" fontId="14" fillId="0" borderId="1" xfId="5" applyNumberFormat="1" applyFont="1" applyBorder="1" applyAlignment="1">
      <alignment horizontal="right"/>
    </xf>
    <xf numFmtId="49" fontId="9" fillId="0" borderId="0" xfId="0" applyNumberFormat="1" applyFont="1" applyAlignment="1">
      <alignment horizontal="center"/>
    </xf>
    <xf numFmtId="166" fontId="9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4" fontId="9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left"/>
    </xf>
    <xf numFmtId="0" fontId="12" fillId="0" borderId="1" xfId="7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14" fillId="0" borderId="1" xfId="5" applyFont="1" applyBorder="1" applyAlignment="1">
      <alignment horizontal="right"/>
    </xf>
    <xf numFmtId="14" fontId="14" fillId="0" borderId="1" xfId="5" applyNumberFormat="1" applyFont="1" applyBorder="1" applyAlignment="1">
      <alignment horizontal="right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4" applyFont="1" applyBorder="1" applyAlignment="1">
      <alignment horizontal="left"/>
    </xf>
    <xf numFmtId="14" fontId="14" fillId="0" borderId="1" xfId="5" applyNumberFormat="1" applyFont="1" applyBorder="1" applyAlignment="1">
      <alignment horizontal="left"/>
    </xf>
    <xf numFmtId="0" fontId="0" fillId="0" borderId="1" xfId="0" applyBorder="1" applyAlignment="1" applyProtection="1">
      <alignment horizontal="center" vertical="center" wrapText="1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49" fontId="2" fillId="2" borderId="5" xfId="0" applyNumberFormat="1" applyFont="1" applyFill="1" applyBorder="1" applyAlignment="1" applyProtection="1">
      <alignment horizontal="left"/>
      <protection locked="0"/>
    </xf>
    <xf numFmtId="49" fontId="0" fillId="2" borderId="6" xfId="0" applyNumberFormat="1" applyFill="1" applyBorder="1" applyAlignment="1" applyProtection="1">
      <protection locked="0"/>
    </xf>
    <xf numFmtId="49" fontId="2" fillId="4" borderId="1" xfId="0" applyNumberFormat="1" applyFont="1" applyFill="1" applyBorder="1" applyAlignment="1" applyProtection="1">
      <alignment horizontal="left"/>
      <protection locked="0"/>
    </xf>
    <xf numFmtId="49" fontId="0" fillId="4" borderId="1" xfId="0" applyNumberFormat="1" applyFill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left"/>
    </xf>
    <xf numFmtId="0" fontId="0" fillId="5" borderId="0" xfId="0" applyFont="1" applyFill="1" applyBorder="1" applyAlignment="1" applyProtection="1">
      <alignment vertical="top" wrapText="1"/>
      <protection locked="0"/>
    </xf>
    <xf numFmtId="0" fontId="0" fillId="5" borderId="0" xfId="0" applyFill="1" applyBorder="1" applyAlignment="1" applyProtection="1">
      <alignment vertical="top" wrapText="1"/>
      <protection locked="0"/>
    </xf>
    <xf numFmtId="0" fontId="0" fillId="5" borderId="0" xfId="0" applyFill="1" applyAlignment="1"/>
    <xf numFmtId="0" fontId="0" fillId="0" borderId="0" xfId="0" applyBorder="1" applyAlignment="1" applyProtection="1"/>
    <xf numFmtId="0" fontId="6" fillId="0" borderId="0" xfId="0" applyFont="1" applyBorder="1" applyAlignment="1" applyProtection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/>
    <xf numFmtId="49" fontId="2" fillId="2" borderId="4" xfId="0" applyNumberFormat="1" applyFont="1" applyFill="1" applyBorder="1" applyAlignment="1" applyProtection="1">
      <alignment horizontal="center" wrapText="1"/>
      <protection locked="0"/>
    </xf>
    <xf numFmtId="49" fontId="2" fillId="2" borderId="5" xfId="0" applyNumberFormat="1" applyFont="1" applyFill="1" applyBorder="1" applyAlignment="1" applyProtection="1">
      <alignment horizontal="center" wrapText="1"/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0" fontId="0" fillId="0" borderId="0" xfId="0" applyBorder="1" applyAlignment="1" applyProtection="1">
      <alignment horizontal="right"/>
    </xf>
    <xf numFmtId="0" fontId="0" fillId="0" borderId="0" xfId="0" applyBorder="1" applyAlignment="1" applyProtection="1">
      <alignment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2" borderId="4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0" fillId="0" borderId="7" xfId="0" applyBorder="1" applyAlignment="1"/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protection locked="0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7" xfId="0" applyFont="1" applyBorder="1" applyAlignment="1">
      <alignment horizontal="right"/>
    </xf>
    <xf numFmtId="0" fontId="0" fillId="0" borderId="0" xfId="0" applyAlignment="1"/>
    <xf numFmtId="0" fontId="9" fillId="0" borderId="2" xfId="0" applyFont="1" applyBorder="1" applyAlignment="1">
      <alignment horizontal="left" wrapText="1"/>
    </xf>
    <xf numFmtId="0" fontId="9" fillId="0" borderId="2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9" fillId="0" borderId="12" xfId="0" applyFont="1" applyBorder="1" applyAlignment="1">
      <alignment wrapText="1"/>
    </xf>
    <xf numFmtId="0" fontId="9" fillId="0" borderId="13" xfId="0" applyFont="1" applyBorder="1" applyAlignment="1">
      <alignment wrapText="1"/>
    </xf>
    <xf numFmtId="0" fontId="9" fillId="0" borderId="4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14" fillId="0" borderId="1" xfId="0" applyFont="1" applyBorder="1" applyAlignment="1">
      <alignment horizontal="left" vertical="center" wrapText="1"/>
    </xf>
  </cellXfs>
  <cellStyles count="10">
    <cellStyle name="Normalny" xfId="0" builtinId="0"/>
    <cellStyle name="Normalny_Zadanie nr 21" xfId="1"/>
    <cellStyle name="Normalny_Zadanie nr 49" xfId="2"/>
    <cellStyle name="Normalny_Zadanie nr 50" xfId="3"/>
    <cellStyle name="Normalny_Zadanie nr 53" xfId="4"/>
    <cellStyle name="Normalny_Zadanie nr 54" xfId="5"/>
    <cellStyle name="Normalny_Zadanie nr 56" xfId="6"/>
    <cellStyle name="Normalny_Zadanie nr 57" xfId="7"/>
    <cellStyle name="Walutowy" xfId="8" builtinId="4"/>
    <cellStyle name="Walutowy 2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3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4.xml"/><Relationship Id="rId2" Type="http://schemas.openxmlformats.org/officeDocument/2006/relationships/vmlDrawing" Target="../drawings/vmlDrawing44.v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5.xml"/><Relationship Id="rId2" Type="http://schemas.openxmlformats.org/officeDocument/2006/relationships/vmlDrawing" Target="../drawings/vmlDrawing45.v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6.xml"/><Relationship Id="rId2" Type="http://schemas.openxmlformats.org/officeDocument/2006/relationships/vmlDrawing" Target="../drawings/vmlDrawing46.v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7.xml"/><Relationship Id="rId2" Type="http://schemas.openxmlformats.org/officeDocument/2006/relationships/vmlDrawing" Target="../drawings/vmlDrawing47.v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8.xml"/><Relationship Id="rId2" Type="http://schemas.openxmlformats.org/officeDocument/2006/relationships/vmlDrawing" Target="../drawings/vmlDrawing48.v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9.xml"/><Relationship Id="rId2" Type="http://schemas.openxmlformats.org/officeDocument/2006/relationships/vmlDrawing" Target="../drawings/vmlDrawing49.v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0.xml"/><Relationship Id="rId2" Type="http://schemas.openxmlformats.org/officeDocument/2006/relationships/vmlDrawing" Target="../drawings/vmlDrawing50.v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1.xml"/><Relationship Id="rId2" Type="http://schemas.openxmlformats.org/officeDocument/2006/relationships/vmlDrawing" Target="../drawings/vmlDrawing51.v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2.xml"/><Relationship Id="rId2" Type="http://schemas.openxmlformats.org/officeDocument/2006/relationships/vmlDrawing" Target="../drawings/vmlDrawing52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3.xml"/><Relationship Id="rId2" Type="http://schemas.openxmlformats.org/officeDocument/2006/relationships/vmlDrawing" Target="../drawings/vmlDrawing53.v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4.xml"/><Relationship Id="rId2" Type="http://schemas.openxmlformats.org/officeDocument/2006/relationships/vmlDrawing" Target="../drawings/vmlDrawing54.v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5.xml"/><Relationship Id="rId2" Type="http://schemas.openxmlformats.org/officeDocument/2006/relationships/vmlDrawing" Target="../drawings/vmlDrawing55.v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6.xml"/><Relationship Id="rId2" Type="http://schemas.openxmlformats.org/officeDocument/2006/relationships/vmlDrawing" Target="../drawings/vmlDrawing56.v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7.xml"/><Relationship Id="rId2" Type="http://schemas.openxmlformats.org/officeDocument/2006/relationships/vmlDrawing" Target="../drawings/vmlDrawing57.v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8.xml"/><Relationship Id="rId2" Type="http://schemas.openxmlformats.org/officeDocument/2006/relationships/vmlDrawing" Target="../drawings/vmlDrawing58.v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9.xml"/><Relationship Id="rId2" Type="http://schemas.openxmlformats.org/officeDocument/2006/relationships/vmlDrawing" Target="../drawings/vmlDrawing59.v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0.xml"/><Relationship Id="rId2" Type="http://schemas.openxmlformats.org/officeDocument/2006/relationships/vmlDrawing" Target="../drawings/vmlDrawing60.v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1.xml"/><Relationship Id="rId2" Type="http://schemas.openxmlformats.org/officeDocument/2006/relationships/vmlDrawing" Target="../drawings/vmlDrawing61.v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2.xml"/><Relationship Id="rId2" Type="http://schemas.openxmlformats.org/officeDocument/2006/relationships/vmlDrawing" Target="../drawings/vmlDrawing62.v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3.xml"/><Relationship Id="rId2" Type="http://schemas.openxmlformats.org/officeDocument/2006/relationships/vmlDrawing" Target="../drawings/vmlDrawing63.v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comments" Target="../comments64.xml"/><Relationship Id="rId2" Type="http://schemas.openxmlformats.org/officeDocument/2006/relationships/vmlDrawing" Target="../drawings/vmlDrawing64.v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comments" Target="../comments65.xml"/><Relationship Id="rId2" Type="http://schemas.openxmlformats.org/officeDocument/2006/relationships/vmlDrawing" Target="../drawings/vmlDrawing65.v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6.xml"/><Relationship Id="rId2" Type="http://schemas.openxmlformats.org/officeDocument/2006/relationships/vmlDrawing" Target="../drawings/vmlDrawing66.v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7.xml"/><Relationship Id="rId2" Type="http://schemas.openxmlformats.org/officeDocument/2006/relationships/vmlDrawing" Target="../drawings/vmlDrawing67.v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8.xml"/><Relationship Id="rId2" Type="http://schemas.openxmlformats.org/officeDocument/2006/relationships/vmlDrawing" Target="../drawings/vmlDrawing68.v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9.xml"/><Relationship Id="rId2" Type="http://schemas.openxmlformats.org/officeDocument/2006/relationships/vmlDrawing" Target="../drawings/vmlDrawing69.v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0.xml"/><Relationship Id="rId2" Type="http://schemas.openxmlformats.org/officeDocument/2006/relationships/vmlDrawing" Target="../drawings/vmlDrawing70.v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1.xml"/><Relationship Id="rId2" Type="http://schemas.openxmlformats.org/officeDocument/2006/relationships/vmlDrawing" Target="../drawings/vmlDrawing71.v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2.xml"/><Relationship Id="rId2" Type="http://schemas.openxmlformats.org/officeDocument/2006/relationships/vmlDrawing" Target="../drawings/vmlDrawing72.v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3.xml"/><Relationship Id="rId2" Type="http://schemas.openxmlformats.org/officeDocument/2006/relationships/vmlDrawing" Target="../drawings/vmlDrawing73.v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comments" Target="../comments74.xml"/><Relationship Id="rId2" Type="http://schemas.openxmlformats.org/officeDocument/2006/relationships/vmlDrawing" Target="../drawings/vmlDrawing74.v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5.xml"/><Relationship Id="rId2" Type="http://schemas.openxmlformats.org/officeDocument/2006/relationships/vmlDrawing" Target="../drawings/vmlDrawing75.v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comments" Target="../comments76.xml"/><Relationship Id="rId2" Type="http://schemas.openxmlformats.org/officeDocument/2006/relationships/vmlDrawing" Target="../drawings/vmlDrawing76.v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7.xml"/><Relationship Id="rId2" Type="http://schemas.openxmlformats.org/officeDocument/2006/relationships/vmlDrawing" Target="../drawings/vmlDrawing77.vml"/><Relationship Id="rId1" Type="http://schemas.openxmlformats.org/officeDocument/2006/relationships/printerSettings" Target="../printerSettings/printerSettings7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C103"/>
  <sheetViews>
    <sheetView view="pageLayout" topLeftCell="A16" zoomScaleNormal="100" zoomScaleSheetLayoutView="85" workbookViewId="0">
      <selection activeCell="B16" sqref="B16:G16"/>
    </sheetView>
  </sheetViews>
  <sheetFormatPr defaultRowHeight="12.75" x14ac:dyDescent="0.2"/>
  <cols>
    <col min="1" max="1" width="2.85546875" style="1" customWidth="1"/>
    <col min="2" max="2" width="18.85546875" style="1" customWidth="1"/>
    <col min="3" max="3" width="41" style="1" customWidth="1"/>
    <col min="4" max="4" width="21.140625" style="1" customWidth="1"/>
    <col min="5" max="5" width="19.28515625" style="1" customWidth="1"/>
    <col min="6" max="6" width="8.42578125" style="1" customWidth="1"/>
    <col min="7" max="7" width="9" style="1" customWidth="1"/>
    <col min="8" max="16384" width="9.140625" style="1"/>
  </cols>
  <sheetData>
    <row r="1" spans="1:29" x14ac:dyDescent="0.2">
      <c r="A1" s="4"/>
      <c r="B1" s="10"/>
      <c r="C1" s="10"/>
      <c r="D1" s="10"/>
      <c r="E1" s="10"/>
      <c r="F1" s="10"/>
      <c r="G1" s="10"/>
      <c r="H1" s="10"/>
      <c r="I1" s="10"/>
      <c r="J1" s="10"/>
      <c r="K1" s="4"/>
      <c r="L1" s="10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25.5" x14ac:dyDescent="0.2">
      <c r="A3" s="100"/>
      <c r="B3" s="45" t="s">
        <v>132</v>
      </c>
      <c r="C3" s="25" t="s">
        <v>674</v>
      </c>
      <c r="G3" s="2"/>
      <c r="H3" s="4"/>
      <c r="I3" s="4"/>
      <c r="J3" s="4"/>
      <c r="K3" s="4"/>
      <c r="L3" s="4"/>
    </row>
    <row r="4" spans="1:29" x14ac:dyDescent="0.2">
      <c r="A4" s="100"/>
      <c r="B4" s="100"/>
      <c r="C4" s="100"/>
      <c r="D4" s="100"/>
      <c r="E4" s="100"/>
      <c r="F4" s="100"/>
      <c r="G4" s="100"/>
      <c r="H4" s="4"/>
      <c r="I4" s="4"/>
      <c r="J4" s="4"/>
      <c r="K4" s="4"/>
      <c r="L4" s="4"/>
    </row>
    <row r="5" spans="1:29" ht="19.5" customHeight="1" x14ac:dyDescent="0.2">
      <c r="A5" s="100"/>
      <c r="B5" s="26" t="s">
        <v>325</v>
      </c>
      <c r="C5" s="101" t="s">
        <v>673</v>
      </c>
      <c r="D5" s="102"/>
      <c r="E5" s="102"/>
      <c r="F5" s="102"/>
      <c r="G5" s="102"/>
      <c r="H5" s="103"/>
      <c r="I5" s="4"/>
      <c r="J5" s="4"/>
      <c r="K5" s="4"/>
      <c r="L5" s="4"/>
    </row>
    <row r="6" spans="1:29" x14ac:dyDescent="0.2"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x14ac:dyDescent="0.2">
      <c r="B7" s="22" t="s">
        <v>338</v>
      </c>
      <c r="C7" s="104"/>
      <c r="D7" s="105"/>
      <c r="E7" s="105"/>
      <c r="F7" s="105"/>
      <c r="G7" s="105"/>
      <c r="H7" s="106"/>
      <c r="I7" s="4"/>
      <c r="J7" s="4"/>
      <c r="K7" s="4"/>
      <c r="L7" s="4"/>
    </row>
    <row r="8" spans="1:29" x14ac:dyDescent="0.2">
      <c r="H8" s="4"/>
      <c r="I8" s="4"/>
      <c r="J8" s="4"/>
      <c r="K8" s="4"/>
      <c r="L8" s="4"/>
    </row>
    <row r="9" spans="1:29" x14ac:dyDescent="0.2">
      <c r="B9" s="22" t="s">
        <v>329</v>
      </c>
      <c r="C9" s="29"/>
      <c r="D9" s="22" t="s">
        <v>336</v>
      </c>
      <c r="E9" s="29"/>
      <c r="F9" s="22" t="s">
        <v>337</v>
      </c>
      <c r="G9" s="91"/>
      <c r="H9" s="93"/>
      <c r="I9" s="4"/>
      <c r="J9" s="4"/>
      <c r="K9" s="4"/>
      <c r="L9" s="4"/>
    </row>
    <row r="10" spans="1:29" x14ac:dyDescent="0.2">
      <c r="B10" s="22" t="s">
        <v>330</v>
      </c>
      <c r="C10" s="29"/>
      <c r="D10" s="107" t="s">
        <v>331</v>
      </c>
      <c r="E10" s="107"/>
      <c r="F10" s="91"/>
      <c r="G10" s="92"/>
      <c r="H10" s="93"/>
      <c r="I10" s="4"/>
      <c r="J10" s="4"/>
      <c r="K10" s="4"/>
      <c r="L10" s="4"/>
    </row>
    <row r="11" spans="1:29" x14ac:dyDescent="0.2">
      <c r="H11" s="4"/>
      <c r="I11" s="4"/>
      <c r="J11" s="4"/>
      <c r="K11" s="4"/>
      <c r="L11" s="4"/>
    </row>
    <row r="12" spans="1:29" x14ac:dyDescent="0.2">
      <c r="B12" s="22" t="s">
        <v>327</v>
      </c>
      <c r="C12" s="29"/>
      <c r="D12" s="22" t="s">
        <v>328</v>
      </c>
      <c r="E12" s="91"/>
      <c r="F12" s="92"/>
      <c r="G12" s="92"/>
      <c r="H12" s="93"/>
      <c r="I12" s="4"/>
      <c r="J12" s="4"/>
      <c r="K12" s="4"/>
      <c r="L12" s="4"/>
    </row>
    <row r="13" spans="1:29" x14ac:dyDescent="0.2">
      <c r="H13" s="4"/>
      <c r="I13" s="4"/>
      <c r="J13" s="4"/>
      <c r="K13" s="4"/>
      <c r="L13" s="4"/>
    </row>
    <row r="14" spans="1:29" ht="25.5" x14ac:dyDescent="0.2">
      <c r="B14" s="22" t="s">
        <v>339</v>
      </c>
      <c r="C14" s="28"/>
      <c r="D14" s="46" t="s">
        <v>675</v>
      </c>
      <c r="E14" s="94"/>
      <c r="F14" s="95"/>
      <c r="G14" s="95"/>
      <c r="H14" s="95"/>
      <c r="I14" s="4"/>
      <c r="J14" s="4"/>
      <c r="K14" s="4"/>
      <c r="L14" s="4"/>
    </row>
    <row r="15" spans="1:29" x14ac:dyDescent="0.2">
      <c r="C15" s="13"/>
      <c r="D15" s="13"/>
      <c r="E15" s="13"/>
      <c r="F15" s="13"/>
      <c r="G15" s="13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29" x14ac:dyDescent="0.2">
      <c r="B16" s="108" t="s">
        <v>129</v>
      </c>
      <c r="C16" s="109"/>
      <c r="D16" s="109"/>
      <c r="E16" s="109"/>
      <c r="F16" s="109"/>
      <c r="G16" s="109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2:29" x14ac:dyDescent="0.2">
      <c r="B17" s="12"/>
      <c r="C17" s="14"/>
      <c r="D17" s="14"/>
      <c r="E17" s="14"/>
      <c r="F17" s="14"/>
      <c r="G17" s="1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2:29" x14ac:dyDescent="0.2">
      <c r="B18" s="20" t="s">
        <v>130</v>
      </c>
      <c r="C18" s="21" t="s">
        <v>326</v>
      </c>
      <c r="D18" s="21" t="s">
        <v>332</v>
      </c>
      <c r="E18" s="21" t="s">
        <v>334</v>
      </c>
      <c r="F18" s="14"/>
      <c r="G18" s="1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2:29" ht="24.75" customHeight="1" x14ac:dyDescent="0.2">
      <c r="B19" s="90">
        <f>'Zadanie nr 1'!$C$2</f>
        <v>1</v>
      </c>
      <c r="C19" s="19" t="str">
        <f>'Zadanie nr 1'!$C$4</f>
        <v>Aparaty EKG</v>
      </c>
      <c r="D19" s="23"/>
      <c r="E19" s="23"/>
      <c r="F19" s="14"/>
      <c r="G19" s="1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2:29" ht="24.75" customHeight="1" x14ac:dyDescent="0.2">
      <c r="B20" s="90">
        <f>'Zadanie nr 2'!$C$2</f>
        <v>2</v>
      </c>
      <c r="C20" s="19" t="str">
        <f>'Zadanie nr 2'!$C$4</f>
        <v>Aparatura do histopatologii I</v>
      </c>
      <c r="D20" s="23"/>
      <c r="E20" s="23"/>
      <c r="F20" s="14"/>
      <c r="G20" s="1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2:29" ht="24.75" customHeight="1" x14ac:dyDescent="0.2">
      <c r="B21" s="90">
        <f>'Zadanie nr 3'!$C$2</f>
        <v>3</v>
      </c>
      <c r="C21" s="19" t="str">
        <f>'Zadanie nr 3'!$C$4</f>
        <v>Aparatura do histopatologii II</v>
      </c>
      <c r="D21" s="23"/>
      <c r="E21" s="23"/>
      <c r="F21" s="14"/>
      <c r="G21" s="1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2:29" ht="24.75" customHeight="1" x14ac:dyDescent="0.2">
      <c r="B22" s="90">
        <f>'Zadanie nr 4'!$C$2</f>
        <v>4</v>
      </c>
      <c r="C22" s="19" t="str">
        <f>'Zadanie nr 4'!$C$4</f>
        <v>Urządzenia Maquet</v>
      </c>
      <c r="D22" s="23"/>
      <c r="E22" s="23"/>
      <c r="F22" s="14"/>
      <c r="G22" s="1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2:29" ht="24.75" customHeight="1" x14ac:dyDescent="0.2">
      <c r="B23" s="90">
        <f>'Zadanie nr 5'!$C$2</f>
        <v>5</v>
      </c>
      <c r="C23" s="19" t="str">
        <f>'Zadanie nr 5'!$C$4</f>
        <v>Sprzęt endoskopowy Olympus</v>
      </c>
      <c r="D23" s="23"/>
      <c r="E23" s="23"/>
      <c r="F23" s="14"/>
      <c r="G23" s="1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2:29" ht="24.75" customHeight="1" x14ac:dyDescent="0.2">
      <c r="B24" s="90">
        <f>'Zadanie nr 6'!$C$2</f>
        <v>6</v>
      </c>
      <c r="C24" s="19" t="str">
        <f>'Zadanie nr 6'!$C$4</f>
        <v>Urządzenia laboratoryjne Becton Dickinson</v>
      </c>
      <c r="D24" s="23"/>
      <c r="E24" s="23"/>
      <c r="F24" s="14"/>
      <c r="G24" s="1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2:29" ht="24.75" customHeight="1" x14ac:dyDescent="0.2">
      <c r="B25" s="90">
        <f>'Zadanie nr 7'!$C$2</f>
        <v>7</v>
      </c>
      <c r="C25" s="19" t="str">
        <f>'Zadanie nr 7'!$C$4</f>
        <v>Wstrzykiwacze kontrastu</v>
      </c>
      <c r="D25" s="23"/>
      <c r="E25" s="23"/>
      <c r="F25" s="14"/>
      <c r="G25" s="1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2:29" ht="24.75" customHeight="1" x14ac:dyDescent="0.2">
      <c r="B26" s="90">
        <f>'Zadanie nr 8'!$C$2</f>
        <v>8</v>
      </c>
      <c r="C26" s="19" t="str">
        <f>'Zadanie nr 8'!$C$4</f>
        <v>Aparaty do znieczulania Draeger</v>
      </c>
      <c r="D26" s="23"/>
      <c r="E26" s="23"/>
      <c r="F26" s="14"/>
      <c r="G26" s="1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2:29" ht="24.75" customHeight="1" x14ac:dyDescent="0.2">
      <c r="B27" s="90">
        <f>'Zadanie nr 9'!$C$2</f>
        <v>9</v>
      </c>
      <c r="C27" s="19" t="str">
        <f>'Zadanie nr 9'!$C$4</f>
        <v>Aparaty do znieczulania Anmedic</v>
      </c>
      <c r="D27" s="23"/>
      <c r="E27" s="23"/>
      <c r="F27" s="14"/>
      <c r="G27" s="1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2:29" ht="24.75" customHeight="1" x14ac:dyDescent="0.2">
      <c r="B28" s="90">
        <f>'Zadanie nr 10'!$C$2</f>
        <v>10</v>
      </c>
      <c r="C28" s="19" t="str">
        <f>'Zadanie nr 10'!$C$4</f>
        <v>Aparaty elektrochirurgiczne Emed</v>
      </c>
      <c r="D28" s="23"/>
      <c r="E28" s="23"/>
      <c r="F28" s="14"/>
      <c r="G28" s="1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2:29" ht="24.75" customHeight="1" x14ac:dyDescent="0.2">
      <c r="B29" s="90">
        <f>'Zadanie nr 11'!$C$2</f>
        <v>11</v>
      </c>
      <c r="C29" s="19" t="str">
        <f>'Zadanie nr 11'!$C$4</f>
        <v>Aparaty elektrochirurgiczne Valleylab</v>
      </c>
      <c r="D29" s="23"/>
      <c r="E29" s="23"/>
      <c r="F29" s="14"/>
      <c r="G29" s="1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spans="2:29" ht="24.75" customHeight="1" x14ac:dyDescent="0.2">
      <c r="B30" s="90">
        <f>'Zadanie nr 12'!$C$2</f>
        <v>12</v>
      </c>
      <c r="C30" s="19" t="str">
        <f>'Zadanie nr 12'!$C$4</f>
        <v>Aparaty elektrochirurgiczne Erbe</v>
      </c>
      <c r="D30" s="23"/>
      <c r="E30" s="23"/>
      <c r="F30" s="14"/>
      <c r="G30" s="1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2:29" ht="24.75" customHeight="1" x14ac:dyDescent="0.2">
      <c r="B31" s="90">
        <f>'Zadanie nr 13'!$C$2</f>
        <v>13</v>
      </c>
      <c r="C31" s="19" t="str">
        <f>'Zadanie nr 13'!$C$4</f>
        <v>Aparaty USG</v>
      </c>
      <c r="D31" s="23"/>
      <c r="E31" s="23"/>
      <c r="F31" s="14"/>
      <c r="G31" s="1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2:29" ht="24.75" customHeight="1" x14ac:dyDescent="0.2">
      <c r="B32" s="90">
        <f>'Zadanie nr 14'!$C$2</f>
        <v>14</v>
      </c>
      <c r="C32" s="19" t="str">
        <f>'Zadanie nr 14'!$C$4</f>
        <v>Respirator Viasys</v>
      </c>
      <c r="D32" s="23"/>
      <c r="E32" s="23"/>
      <c r="F32" s="14"/>
      <c r="G32" s="1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2:29" ht="24.75" customHeight="1" x14ac:dyDescent="0.2">
      <c r="B33" s="90">
        <f>'Zadanie nr 15'!$C$2</f>
        <v>15</v>
      </c>
      <c r="C33" s="19" t="str">
        <f>'Zadanie nr 15'!$C$4</f>
        <v>Detektory promieniowania gamma</v>
      </c>
      <c r="D33" s="23"/>
      <c r="E33" s="23"/>
      <c r="F33" s="14"/>
      <c r="G33" s="1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spans="2:29" ht="24.75" customHeight="1" x14ac:dyDescent="0.2">
      <c r="B34" s="90">
        <f>'Zadanie nr 16'!$C$2</f>
        <v>16</v>
      </c>
      <c r="C34" s="19" t="str">
        <f>'Zadanie nr 16'!$C$4</f>
        <v>Zestawy laparoskopowe Aesculap</v>
      </c>
      <c r="D34" s="23"/>
      <c r="E34" s="23"/>
      <c r="F34" s="14"/>
      <c r="G34" s="1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2:29" ht="24.75" customHeight="1" x14ac:dyDescent="0.2">
      <c r="B35" s="90">
        <f>'Zadanie nr 17'!$C$2</f>
        <v>17</v>
      </c>
      <c r="C35" s="19" t="str">
        <f>'Zadanie nr 17'!$C$4</f>
        <v>Mikrotomy</v>
      </c>
      <c r="D35" s="23"/>
      <c r="E35" s="23"/>
      <c r="F35" s="14"/>
      <c r="G35" s="1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2:29" ht="24.75" customHeight="1" x14ac:dyDescent="0.2">
      <c r="B36" s="90">
        <f>'Zadanie nr 18'!$C$2</f>
        <v>18</v>
      </c>
      <c r="C36" s="19" t="str">
        <f>'Zadanie nr 18'!$C$4</f>
        <v>Urządzenia Mindray</v>
      </c>
      <c r="D36" s="23"/>
      <c r="E36" s="23"/>
      <c r="F36" s="14"/>
      <c r="G36" s="1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2:29" ht="24.75" customHeight="1" x14ac:dyDescent="0.2">
      <c r="B37" s="90">
        <f>'Zadanie nr 19'!$C$2</f>
        <v>19</v>
      </c>
      <c r="C37" s="19" t="str">
        <f>'Zadanie nr 19'!$C$4</f>
        <v>Sprzęt monitorowania parametrów życiowych</v>
      </c>
      <c r="D37" s="23"/>
      <c r="E37" s="23"/>
      <c r="F37" s="14"/>
      <c r="G37" s="1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2:29" ht="24.75" customHeight="1" x14ac:dyDescent="0.2">
      <c r="B38" s="90">
        <f>'Zadanie nr 20'!$C$2</f>
        <v>20</v>
      </c>
      <c r="C38" s="19" t="str">
        <f>'Zadanie nr 20'!$C$4</f>
        <v>Defibrylatory</v>
      </c>
      <c r="D38" s="23"/>
      <c r="E38" s="23"/>
      <c r="F38" s="14"/>
      <c r="G38" s="1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2:29" ht="24.75" customHeight="1" x14ac:dyDescent="0.2">
      <c r="B39" s="90">
        <f>'Zadanie nr 21'!$C$2</f>
        <v>21</v>
      </c>
      <c r="C39" s="19" t="str">
        <f>'Zadanie nr 21'!$C$4</f>
        <v>Pompy infuzyjne Braun</v>
      </c>
      <c r="D39" s="23"/>
      <c r="E39" s="23"/>
      <c r="F39" s="14"/>
      <c r="G39" s="1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2:29" ht="24.75" customHeight="1" x14ac:dyDescent="0.2">
      <c r="B40" s="90">
        <f>'Zadanie nr 22'!$C$2</f>
        <v>22</v>
      </c>
      <c r="C40" s="19" t="str">
        <f>'Zadanie nr 22'!$C$4</f>
        <v>Myjnie endoskopowe, szafa do suszenia endoskopów</v>
      </c>
      <c r="D40" s="23"/>
      <c r="E40" s="23"/>
      <c r="F40" s="14"/>
      <c r="G40" s="1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 spans="2:29" ht="24.75" customHeight="1" x14ac:dyDescent="0.2">
      <c r="B41" s="90">
        <f>'Zadanie nr 23'!$C$2</f>
        <v>23</v>
      </c>
      <c r="C41" s="19" t="str">
        <f>'Zadanie nr 23'!$C$4</f>
        <v>Sterylizator plazmowy</v>
      </c>
      <c r="D41" s="23"/>
      <c r="E41" s="23"/>
      <c r="F41" s="14"/>
      <c r="G41" s="1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spans="2:29" ht="24.75" customHeight="1" x14ac:dyDescent="0.2">
      <c r="B42" s="90">
        <f>'Zadanie nr 24'!$C$2</f>
        <v>24</v>
      </c>
      <c r="C42" s="19" t="str">
        <f>'Zadanie nr 24'!$C$4</f>
        <v>Urządzenia sterylizacji parowej</v>
      </c>
      <c r="D42" s="23"/>
      <c r="E42" s="23"/>
      <c r="F42" s="14"/>
      <c r="G42" s="1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spans="2:29" ht="24.75" customHeight="1" x14ac:dyDescent="0.2">
      <c r="B43" s="90">
        <f>'Zadanie nr 25'!$C$2</f>
        <v>25</v>
      </c>
      <c r="C43" s="19" t="str">
        <f>'Zadanie nr 25'!$C$4</f>
        <v>Urządzenia Centralnej Sterylizatorni</v>
      </c>
      <c r="D43" s="23"/>
      <c r="E43" s="23"/>
      <c r="F43" s="14"/>
      <c r="G43" s="1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2:29" ht="24.75" customHeight="1" x14ac:dyDescent="0.2">
      <c r="B44" s="90">
        <f>'Zadanie nr 26'!$C$2</f>
        <v>26</v>
      </c>
      <c r="C44" s="19" t="str">
        <f>'Zadanie nr 26'!$C$4</f>
        <v>Komory laminarne</v>
      </c>
      <c r="D44" s="23"/>
      <c r="E44" s="23"/>
      <c r="F44" s="14"/>
      <c r="G44" s="1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spans="2:29" ht="24.75" customHeight="1" x14ac:dyDescent="0.2">
      <c r="B45" s="90">
        <f>'Zadanie nr 27'!$C$2</f>
        <v>27</v>
      </c>
      <c r="C45" s="19" t="str">
        <f>'Zadanie nr 27'!$C$4</f>
        <v>Aparaty rtg Siemens</v>
      </c>
      <c r="D45" s="23"/>
      <c r="E45" s="23"/>
      <c r="F45" s="14"/>
      <c r="G45" s="1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2:29" ht="24.75" customHeight="1" x14ac:dyDescent="0.2">
      <c r="B46" s="90">
        <f>'Zadanie nr 28'!$C$2</f>
        <v>28</v>
      </c>
      <c r="C46" s="19" t="str">
        <f>'Zadanie nr 28'!$C$4</f>
        <v>Mammograf, kardiomonitor GE</v>
      </c>
      <c r="D46" s="23"/>
      <c r="E46" s="23"/>
      <c r="F46" s="14"/>
      <c r="G46" s="1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2:29" ht="24.75" customHeight="1" x14ac:dyDescent="0.2">
      <c r="B47" s="90">
        <f>'Zadanie nr 29'!$C$2</f>
        <v>29</v>
      </c>
      <c r="C47" s="19" t="str">
        <f>'Zadanie nr 29'!$C$4</f>
        <v>Urządzenia ZdAJ</v>
      </c>
      <c r="D47" s="23"/>
      <c r="E47" s="23"/>
      <c r="F47" s="14"/>
      <c r="G47" s="1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2:29" ht="24.75" customHeight="1" x14ac:dyDescent="0.2">
      <c r="B48" s="90">
        <f>'Zadanie nr 30'!$C$2</f>
        <v>30</v>
      </c>
      <c r="C48" s="19" t="str">
        <f>'Zadanie nr 30'!$C$4</f>
        <v>Inkubatory CO2, cieplarki Incucell</v>
      </c>
      <c r="D48" s="23"/>
      <c r="E48" s="23"/>
      <c r="F48" s="14"/>
      <c r="G48" s="1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2:29" ht="24.75" customHeight="1" x14ac:dyDescent="0.2">
      <c r="B49" s="90">
        <f>'Zadanie nr 31'!$C$2</f>
        <v>31</v>
      </c>
      <c r="C49" s="19" t="str">
        <f>'Zadanie nr 31'!$C$4</f>
        <v>Cytometr przepływowy</v>
      </c>
      <c r="D49" s="23"/>
      <c r="E49" s="23"/>
      <c r="F49" s="14"/>
      <c r="G49" s="1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2:29" ht="24.75" customHeight="1" x14ac:dyDescent="0.2">
      <c r="B50" s="90">
        <f>'Zadanie nr 32'!$C$2</f>
        <v>32</v>
      </c>
      <c r="C50" s="19" t="str">
        <f>'Zadanie nr 32'!$C$4</f>
        <v>Aparat do suchego rozmrażania osocza</v>
      </c>
      <c r="D50" s="23"/>
      <c r="E50" s="23"/>
      <c r="F50" s="14"/>
      <c r="G50" s="1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2:29" ht="24.75" customHeight="1" x14ac:dyDescent="0.2">
      <c r="B51" s="90">
        <f>'Zadanie nr 33'!$C$2</f>
        <v>33</v>
      </c>
      <c r="C51" s="19" t="str">
        <f>'Zadanie nr 33'!$C$4</f>
        <v>Myjnie-dezynfektory do kaczek i basenów Steelco</v>
      </c>
      <c r="D51" s="23"/>
      <c r="E51" s="23"/>
      <c r="F51" s="14"/>
      <c r="G51" s="1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2:29" ht="24.75" customHeight="1" x14ac:dyDescent="0.2">
      <c r="B52" s="90">
        <f>'Zadanie nr 34'!$C$2</f>
        <v>34</v>
      </c>
      <c r="C52" s="19" t="str">
        <f>'Zadanie nr 34'!$C$4</f>
        <v>Aparat do hipertermii</v>
      </c>
      <c r="D52" s="23"/>
      <c r="E52" s="23"/>
      <c r="F52" s="14"/>
      <c r="G52" s="1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2:29" ht="24.75" customHeight="1" x14ac:dyDescent="0.2">
      <c r="B53" s="90">
        <f>'Zadanie nr 35'!$C$2</f>
        <v>35</v>
      </c>
      <c r="C53" s="19" t="str">
        <f>'Zadanie nr 35'!$C$4</f>
        <v>Komory manipulacyjne</v>
      </c>
      <c r="D53" s="23"/>
      <c r="E53" s="23"/>
      <c r="F53" s="14"/>
      <c r="G53" s="1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2:29" ht="24.75" customHeight="1" x14ac:dyDescent="0.2">
      <c r="B54" s="90">
        <f>'Zadanie nr 36'!$C$2</f>
        <v>36</v>
      </c>
      <c r="C54" s="19" t="str">
        <f>'Zadanie nr 36'!$C$4</f>
        <v>Systemy do planowania leczenia</v>
      </c>
      <c r="D54" s="23"/>
      <c r="E54" s="23"/>
      <c r="F54" s="14"/>
      <c r="G54" s="1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2:29" ht="24.75" customHeight="1" x14ac:dyDescent="0.2">
      <c r="B55" s="90">
        <f>'Zadanie nr 37'!$C$2</f>
        <v>37</v>
      </c>
      <c r="C55" s="19" t="str">
        <f>'Zadanie nr 37'!$C$4</f>
        <v>Drukarki do klisz</v>
      </c>
      <c r="D55" s="23"/>
      <c r="E55" s="23"/>
      <c r="F55" s="14"/>
      <c r="G55" s="1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2:29" ht="24.75" customHeight="1" x14ac:dyDescent="0.2">
      <c r="B56" s="90">
        <f>'Zadanie nr 38'!$C$2</f>
        <v>38</v>
      </c>
      <c r="C56" s="19" t="str">
        <f>'Zadanie nr 38'!$C$4</f>
        <v>Urządzenia do biopsji mammotomicznej</v>
      </c>
      <c r="D56" s="23"/>
      <c r="E56" s="23"/>
      <c r="F56" s="14"/>
      <c r="G56" s="1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2:29" ht="24.75" customHeight="1" x14ac:dyDescent="0.2">
      <c r="B57" s="90">
        <f>'Zadanie nr 39'!$C$2</f>
        <v>39</v>
      </c>
      <c r="C57" s="19" t="str">
        <f>'Zadanie nr 39'!$C$4</f>
        <v>Aparat rtg Ziehm</v>
      </c>
      <c r="D57" s="23"/>
      <c r="E57" s="23"/>
      <c r="F57" s="14"/>
      <c r="G57" s="1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2:29" ht="24.75" customHeight="1" x14ac:dyDescent="0.2">
      <c r="B58" s="90">
        <f>'Zadanie nr 40'!$C$2</f>
        <v>40</v>
      </c>
      <c r="C58" s="19" t="str">
        <f>'Zadanie nr 40'!$C$4</f>
        <v>Myjnie-dezynfektory do kaczek i basenów Getinge</v>
      </c>
      <c r="D58" s="23"/>
      <c r="E58" s="23"/>
      <c r="F58" s="14"/>
      <c r="G58" s="1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2:29" ht="24.75" customHeight="1" x14ac:dyDescent="0.2">
      <c r="B59" s="90">
        <f>'Zadanie nr 41'!$C$2</f>
        <v>41</v>
      </c>
      <c r="C59" s="19" t="str">
        <f>'Zadanie nr 41'!$C$4</f>
        <v>Aparat do znieczulania Taema</v>
      </c>
      <c r="D59" s="23"/>
      <c r="E59" s="23"/>
      <c r="F59" s="14"/>
      <c r="G59" s="1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2:29" ht="24.75" customHeight="1" x14ac:dyDescent="0.2">
      <c r="B60" s="90">
        <f>'Zadanie nr 42'!$C$2</f>
        <v>42</v>
      </c>
      <c r="C60" s="19" t="str">
        <f>'Zadanie nr 42'!$C$4</f>
        <v>Respiratory Covidien</v>
      </c>
      <c r="D60" s="23"/>
      <c r="E60" s="23"/>
      <c r="F60" s="14"/>
      <c r="G60" s="1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2:29" ht="24.75" customHeight="1" x14ac:dyDescent="0.2">
      <c r="B61" s="90">
        <f>'Zadanie nr 43'!$C$2</f>
        <v>43</v>
      </c>
      <c r="C61" s="19" t="str">
        <f>'Zadanie nr 43'!$C$4</f>
        <v>Zestawy endoskopowe Karl Storz</v>
      </c>
      <c r="D61" s="23"/>
      <c r="E61" s="23"/>
      <c r="F61" s="14"/>
      <c r="G61" s="1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2:29" ht="24.75" customHeight="1" x14ac:dyDescent="0.2">
      <c r="B62" s="90">
        <f>'Zadanie nr 44'!$C$2</f>
        <v>44</v>
      </c>
      <c r="C62" s="19" t="str">
        <f>'Zadanie nr 44'!$C$4</f>
        <v>Myjnia dezynfektor do kaczek i basenów Franke</v>
      </c>
      <c r="D62" s="23"/>
      <c r="E62" s="23"/>
      <c r="F62" s="14"/>
      <c r="G62" s="1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2:29" ht="24.75" customHeight="1" x14ac:dyDescent="0.2">
      <c r="B63" s="90">
        <f>'Zadanie nr 45'!$C$2</f>
        <v>45</v>
      </c>
      <c r="C63" s="19" t="str">
        <f>'Zadanie nr 45'!$C$4</f>
        <v>Morcelator Richard Wolf</v>
      </c>
      <c r="D63" s="23"/>
      <c r="E63" s="23"/>
      <c r="F63" s="14"/>
      <c r="G63" s="1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2:29" ht="24.75" customHeight="1" x14ac:dyDescent="0.2">
      <c r="B64" s="90">
        <f>'Zadanie nr 46'!$C$2</f>
        <v>46</v>
      </c>
      <c r="C64" s="19" t="str">
        <f>'Zadanie nr 46'!$C$4</f>
        <v>Nóż harmoniczny</v>
      </c>
      <c r="D64" s="23"/>
      <c r="E64" s="23"/>
      <c r="F64" s="14"/>
      <c r="G64" s="1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2:29" ht="24.75" customHeight="1" x14ac:dyDescent="0.2">
      <c r="B65" s="90">
        <f>'Zadanie nr 47'!$C$2</f>
        <v>47</v>
      </c>
      <c r="C65" s="19" t="str">
        <f>'Zadanie nr 47'!$C$4</f>
        <v>Aspirator ultradźwiękowy</v>
      </c>
      <c r="D65" s="23"/>
      <c r="E65" s="23"/>
      <c r="F65" s="14"/>
      <c r="G65" s="1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2:29" ht="24.75" customHeight="1" x14ac:dyDescent="0.2">
      <c r="B66" s="90">
        <f>'Zadanie nr 48'!$C$2</f>
        <v>48</v>
      </c>
      <c r="C66" s="19" t="str">
        <f>'Zadanie nr 48'!$C$4</f>
        <v>Kardiomonitor do pomiarów hemodynamicznych serca</v>
      </c>
      <c r="D66" s="23"/>
      <c r="E66" s="23"/>
      <c r="F66" s="14"/>
      <c r="G66" s="1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2:29" ht="24.75" customHeight="1" x14ac:dyDescent="0.2">
      <c r="B67" s="90">
        <f>'Zadanie nr 49'!$C$2</f>
        <v>49</v>
      </c>
      <c r="C67" s="19" t="str">
        <f>'Zadanie nr 49'!$C$4</f>
        <v>Łóżka szpitalne elektryczne</v>
      </c>
      <c r="D67" s="23"/>
      <c r="E67" s="23"/>
      <c r="F67" s="14"/>
      <c r="G67" s="1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2:29" ht="24.75" customHeight="1" x14ac:dyDescent="0.2">
      <c r="B68" s="90">
        <f>'Zadanie nr 50'!$C$2</f>
        <v>50</v>
      </c>
      <c r="C68" s="19" t="str">
        <f>'Zadanie nr 50'!$C$4</f>
        <v>Łóżka intensywnej opieki medycznej</v>
      </c>
      <c r="D68" s="23"/>
      <c r="E68" s="23"/>
      <c r="F68" s="14"/>
      <c r="G68" s="1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2:29" ht="24.75" customHeight="1" x14ac:dyDescent="0.2">
      <c r="B69" s="90">
        <f>'Zadanie nr 51'!$C$2</f>
        <v>51</v>
      </c>
      <c r="C69" s="19" t="str">
        <f>'Zadanie nr 51'!$C$4</f>
        <v>Sprzęt endoskopowy Pentax</v>
      </c>
      <c r="D69" s="23"/>
      <c r="E69" s="23"/>
      <c r="F69" s="14"/>
      <c r="G69" s="1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spans="2:29" ht="24.75" customHeight="1" x14ac:dyDescent="0.2">
      <c r="B70" s="90">
        <f>'Zadanie nr 52'!$C$2</f>
        <v>52</v>
      </c>
      <c r="C70" s="19" t="str">
        <f>'Zadanie nr 52'!$C$4</f>
        <v>Laser do udrażniania światła oskrzeli</v>
      </c>
      <c r="D70" s="23"/>
      <c r="E70" s="23"/>
      <c r="F70" s="14"/>
      <c r="G70" s="1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1" spans="2:29" ht="24.75" customHeight="1" x14ac:dyDescent="0.2">
      <c r="B71" s="90">
        <f>'Zadanie nr 53'!$C$2</f>
        <v>53</v>
      </c>
      <c r="C71" s="19" t="str">
        <f>'Zadanie nr 53'!$C$4</f>
        <v>Ciśnieniomierze</v>
      </c>
      <c r="D71" s="23"/>
      <c r="E71" s="23"/>
      <c r="F71" s="14"/>
      <c r="G71" s="1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spans="2:29" ht="24.75" customHeight="1" x14ac:dyDescent="0.2">
      <c r="B72" s="90">
        <f>'Zadanie nr 54'!$C$2</f>
        <v>54</v>
      </c>
      <c r="C72" s="19" t="str">
        <f>'Zadanie nr 54'!$C$4</f>
        <v>Aparat do znieczulania Mindray</v>
      </c>
      <c r="D72" s="23"/>
      <c r="E72" s="23"/>
      <c r="F72" s="14"/>
      <c r="G72" s="1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spans="2:29" ht="24.75" customHeight="1" x14ac:dyDescent="0.2">
      <c r="B73" s="90">
        <f>'Zadanie nr 55'!$C$2</f>
        <v>55</v>
      </c>
      <c r="C73" s="19" t="str">
        <f>'Zadanie nr 55'!$C$4</f>
        <v>System transportu pacjenta</v>
      </c>
      <c r="D73" s="23"/>
      <c r="E73" s="23"/>
      <c r="F73" s="14"/>
      <c r="G73" s="1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</row>
    <row r="74" spans="2:29" ht="24.75" customHeight="1" x14ac:dyDescent="0.2">
      <c r="B74" s="90">
        <f>'Zadanie nr 56'!$C$2</f>
        <v>56</v>
      </c>
      <c r="C74" s="19" t="str">
        <f>'Zadanie nr 56'!$C$4</f>
        <v>Mikroskopy</v>
      </c>
      <c r="D74" s="23"/>
      <c r="E74" s="23"/>
      <c r="F74" s="14"/>
      <c r="G74" s="1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</row>
    <row r="75" spans="2:29" ht="24.75" customHeight="1" x14ac:dyDescent="0.2">
      <c r="B75" s="90">
        <f>'Zadanie nr 57'!$C$2</f>
        <v>57</v>
      </c>
      <c r="C75" s="19" t="str">
        <f>'Zadanie nr 57'!$C$4</f>
        <v>Pipety</v>
      </c>
      <c r="D75" s="23"/>
      <c r="E75" s="23"/>
      <c r="F75" s="14"/>
      <c r="G75" s="1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</row>
    <row r="76" spans="2:29" ht="24.75" customHeight="1" x14ac:dyDescent="0.2">
      <c r="B76" s="90">
        <f>'Zadanie nr 58'!$C$2</f>
        <v>58</v>
      </c>
      <c r="C76" s="19" t="str">
        <f>'Zadanie nr 58'!$C$4</f>
        <v>Detektor promieniowania gamma</v>
      </c>
      <c r="D76" s="23"/>
      <c r="E76" s="23"/>
      <c r="F76" s="14"/>
      <c r="G76" s="1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</row>
    <row r="77" spans="2:29" ht="24.75" customHeight="1" x14ac:dyDescent="0.2">
      <c r="B77" s="90">
        <f>'Zadanie nr 59'!$C$2</f>
        <v>59</v>
      </c>
      <c r="C77" s="19" t="str">
        <f>'Zadanie nr 59'!$C$4</f>
        <v>Generator do termoablacji</v>
      </c>
      <c r="D77" s="23"/>
      <c r="E77" s="23"/>
      <c r="F77" s="14"/>
      <c r="G77" s="1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</row>
    <row r="78" spans="2:29" ht="24.75" customHeight="1" x14ac:dyDescent="0.2">
      <c r="B78" s="90">
        <f>'Zadanie nr 60'!$C$2</f>
        <v>60</v>
      </c>
      <c r="C78" s="19" t="str">
        <f>'Zadanie nr 60'!$C$4</f>
        <v>Performer hipertermii</v>
      </c>
      <c r="D78" s="23"/>
      <c r="E78" s="23"/>
      <c r="F78" s="14"/>
      <c r="G78" s="1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</row>
    <row r="79" spans="2:29" ht="24.75" customHeight="1" x14ac:dyDescent="0.2">
      <c r="B79" s="90">
        <f>'Zadanie nr 61'!$C$2</f>
        <v>61</v>
      </c>
      <c r="C79" s="19" t="str">
        <f>'Zadanie nr 61'!$C$4</f>
        <v>System obrazowania VS3 Iridium</v>
      </c>
      <c r="D79" s="23"/>
      <c r="E79" s="23"/>
      <c r="F79" s="14"/>
      <c r="G79" s="1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  <row r="80" spans="2:29" ht="24.75" customHeight="1" x14ac:dyDescent="0.2">
      <c r="B80" s="90">
        <f>'Zadanie nr 62'!$C$2</f>
        <v>62</v>
      </c>
      <c r="C80" s="19" t="str">
        <f>'Zadanie nr 62'!$C$4</f>
        <v>Robotyczny pozycjoner optyki</v>
      </c>
      <c r="D80" s="23"/>
      <c r="E80" s="23"/>
      <c r="F80" s="14"/>
      <c r="G80" s="1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</row>
    <row r="81" spans="2:29" ht="24.75" customHeight="1" x14ac:dyDescent="0.2">
      <c r="B81" s="90">
        <f>'Zadanie nr 63'!$C$2</f>
        <v>63</v>
      </c>
      <c r="C81" s="19" t="str">
        <f>'Zadanie nr 63'!$C$4</f>
        <v>Kardiostymulator zewnętrzny</v>
      </c>
      <c r="D81" s="23"/>
      <c r="E81" s="23"/>
      <c r="F81" s="14"/>
      <c r="G81" s="1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</row>
    <row r="82" spans="2:29" ht="24.75" customHeight="1" x14ac:dyDescent="0.2">
      <c r="B82" s="90">
        <f>'Zadanie nr 64'!$C$2</f>
        <v>64</v>
      </c>
      <c r="C82" s="19" t="str">
        <f>'Zadanie nr 64'!$C$4</f>
        <v>Respiratory transportowe</v>
      </c>
      <c r="D82" s="23"/>
      <c r="E82" s="23"/>
      <c r="F82" s="14"/>
      <c r="G82" s="1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</row>
    <row r="83" spans="2:29" ht="24.75" customHeight="1" x14ac:dyDescent="0.2">
      <c r="B83" s="90">
        <f>'Zadanie nr 65'!$C$2</f>
        <v>65</v>
      </c>
      <c r="C83" s="19" t="str">
        <f>'Zadanie nr 65'!$C$4</f>
        <v>Stół operacyjny Saturn Select</v>
      </c>
      <c r="D83" s="23"/>
      <c r="E83" s="23"/>
      <c r="F83" s="14"/>
      <c r="G83" s="1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</row>
    <row r="84" spans="2:29" ht="24.75" customHeight="1" x14ac:dyDescent="0.2">
      <c r="B84" s="90">
        <f>'Zadanie nr 66'!$C$2</f>
        <v>66</v>
      </c>
      <c r="C84" s="19" t="str">
        <f>'Zadanie nr 66'!$C$4</f>
        <v>Lampy operacyjne</v>
      </c>
      <c r="D84" s="23"/>
      <c r="E84" s="23"/>
      <c r="F84" s="14"/>
      <c r="G84" s="1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</row>
    <row r="85" spans="2:29" ht="24.75" customHeight="1" x14ac:dyDescent="0.2">
      <c r="B85" s="90">
        <f>'Zadanie nr 67'!$C$2</f>
        <v>67</v>
      </c>
      <c r="C85" s="19" t="str">
        <f>'Zadanie nr 67'!$C$4</f>
        <v>Sekwenator Ion S5 z wyposażeniem</v>
      </c>
      <c r="D85" s="23"/>
      <c r="E85" s="23"/>
      <c r="F85" s="14"/>
      <c r="G85" s="1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</row>
    <row r="86" spans="2:29" ht="24.75" customHeight="1" x14ac:dyDescent="0.2">
      <c r="B86" s="90">
        <f>'Zadanie nr 68'!$C$2</f>
        <v>68</v>
      </c>
      <c r="C86" s="19" t="str">
        <f>'Zadanie nr 68'!$C$4</f>
        <v>Sekwenator kapilarny</v>
      </c>
      <c r="D86" s="23"/>
      <c r="E86" s="23"/>
      <c r="F86" s="14"/>
      <c r="G86" s="1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</row>
    <row r="87" spans="2:29" ht="24.75" customHeight="1" x14ac:dyDescent="0.2">
      <c r="B87" s="90">
        <f>'Zadanie nr 69'!$C$2</f>
        <v>69</v>
      </c>
      <c r="C87" s="19" t="str">
        <f>'Zadanie nr 69'!$C$4</f>
        <v>Zamrażarki niskotemperaturowe</v>
      </c>
      <c r="D87" s="23"/>
      <c r="E87" s="23"/>
      <c r="F87" s="14"/>
      <c r="G87" s="1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</row>
    <row r="88" spans="2:29" ht="24.75" customHeight="1" x14ac:dyDescent="0.2">
      <c r="B88" s="90">
        <f>'Zadanie nr 70'!$C$2</f>
        <v>70</v>
      </c>
      <c r="C88" s="19" t="str">
        <f>'Zadanie nr 70'!$C$4</f>
        <v>Wirówki laboratoryjne Heraeus</v>
      </c>
      <c r="D88" s="23"/>
      <c r="E88" s="23"/>
      <c r="F88" s="14"/>
      <c r="G88" s="1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</row>
    <row r="89" spans="2:29" ht="24.75" customHeight="1" x14ac:dyDescent="0.2">
      <c r="B89" s="90">
        <f>'Zadanie nr 71'!$C$2</f>
        <v>71</v>
      </c>
      <c r="C89" s="19" t="str">
        <f>'Zadanie nr 71'!$C$4</f>
        <v>Termomiksery</v>
      </c>
      <c r="D89" s="23"/>
      <c r="E89" s="23"/>
      <c r="F89" s="14"/>
      <c r="G89" s="1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</row>
    <row r="90" spans="2:29" ht="24.75" customHeight="1" x14ac:dyDescent="0.2">
      <c r="B90" s="90">
        <f>'Zadanie nr 72'!$C$2</f>
        <v>72</v>
      </c>
      <c r="C90" s="19" t="str">
        <f>'Zadanie nr 72'!$C$4</f>
        <v>Inkubator, wirówka Bio-Rad</v>
      </c>
      <c r="D90" s="23"/>
      <c r="E90" s="23"/>
      <c r="F90" s="14"/>
      <c r="G90" s="1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 spans="2:29" ht="24.75" customHeight="1" x14ac:dyDescent="0.2">
      <c r="B91" s="90">
        <f>'Zadanie nr 73'!$C$2</f>
        <v>73</v>
      </c>
      <c r="C91" s="19" t="str">
        <f>'Zadanie nr 73'!$C$4</f>
        <v>Termocyklery PCR firmy Termo Scientific</v>
      </c>
      <c r="D91" s="23"/>
      <c r="E91" s="23"/>
      <c r="F91" s="14"/>
      <c r="G91" s="1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spans="2:29" ht="24.75" customHeight="1" x14ac:dyDescent="0.2">
      <c r="B92" s="90">
        <f>'Zadanie nr 74'!$C$2</f>
        <v>74</v>
      </c>
      <c r="C92" s="19" t="str">
        <f>'Zadanie nr 74'!$C$4</f>
        <v>Urządzenie ViiA 7</v>
      </c>
      <c r="D92" s="23"/>
      <c r="E92" s="23"/>
      <c r="F92" s="14"/>
      <c r="G92" s="1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  <row r="93" spans="2:29" ht="24.75" customHeight="1" x14ac:dyDescent="0.2">
      <c r="B93" s="90">
        <f>'Zadanie nr 75'!$C$2</f>
        <v>75</v>
      </c>
      <c r="C93" s="19" t="str">
        <f>'Zadanie nr 75'!$C$4</f>
        <v>Komory laminarne BioBan</v>
      </c>
      <c r="D93" s="23"/>
      <c r="E93" s="23"/>
      <c r="F93" s="14"/>
      <c r="G93" s="1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2:29" ht="24.75" customHeight="1" x14ac:dyDescent="0.2">
      <c r="B94" s="90">
        <f>'Zadanie nr 76'!$C$2</f>
        <v>76</v>
      </c>
      <c r="C94" s="19" t="str">
        <f>'Zadanie nr 76'!$C$4</f>
        <v>Barwiarka, zaklejarka Sakura</v>
      </c>
      <c r="D94" s="23"/>
      <c r="E94" s="23"/>
      <c r="F94" s="14"/>
      <c r="G94" s="1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2:29" ht="24.75" customHeight="1" x14ac:dyDescent="0.2">
      <c r="B95" s="18"/>
      <c r="C95" s="19"/>
      <c r="D95" s="23"/>
      <c r="E95" s="23"/>
      <c r="F95" s="14"/>
      <c r="G95" s="1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2:29" ht="24.75" customHeight="1" x14ac:dyDescent="0.2">
      <c r="F96" s="14"/>
      <c r="G96" s="1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:29" ht="16.5" customHeight="1" x14ac:dyDescent="0.2">
      <c r="D97" s="39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:29" x14ac:dyDescent="0.2">
      <c r="B98" s="96" t="s">
        <v>26</v>
      </c>
      <c r="C98" s="96"/>
      <c r="D98" s="96"/>
      <c r="E98" s="96"/>
      <c r="F98" s="96"/>
      <c r="H98" s="4"/>
    </row>
    <row r="99" spans="1:29" x14ac:dyDescent="0.2">
      <c r="A99" s="41"/>
      <c r="B99" s="41"/>
      <c r="C99" s="41"/>
      <c r="D99" s="41"/>
      <c r="E99" s="41"/>
      <c r="F99" s="41"/>
      <c r="G99" s="41"/>
    </row>
    <row r="100" spans="1:29" ht="40.5" customHeight="1" x14ac:dyDescent="0.2">
      <c r="A100" s="42"/>
      <c r="B100" s="97"/>
      <c r="C100" s="98"/>
      <c r="D100" s="98"/>
      <c r="E100" s="98"/>
      <c r="F100" s="98"/>
      <c r="G100" s="98"/>
      <c r="H100" s="99"/>
    </row>
    <row r="103" spans="1:29" x14ac:dyDescent="0.2">
      <c r="B103" s="1" t="s">
        <v>131</v>
      </c>
    </row>
  </sheetData>
  <mergeCells count="12">
    <mergeCell ref="E12:H12"/>
    <mergeCell ref="E14:H14"/>
    <mergeCell ref="B98:F98"/>
    <mergeCell ref="B100:H100"/>
    <mergeCell ref="A3:A5"/>
    <mergeCell ref="B4:G4"/>
    <mergeCell ref="C5:H5"/>
    <mergeCell ref="C7:H7"/>
    <mergeCell ref="D10:E10"/>
    <mergeCell ref="F10:H10"/>
    <mergeCell ref="B16:G16"/>
    <mergeCell ref="G9:H9"/>
  </mergeCells>
  <phoneticPr fontId="0" type="noConversion"/>
  <pageMargins left="0.74803149606299213" right="0.74803149606299213" top="0.78740157480314965" bottom="0.78740157480314965" header="0.39370078740157483" footer="0.39370078740157483"/>
  <pageSetup paperSize="9" scale="67" orientation="portrait" r:id="rId1"/>
  <headerFooter alignWithMargins="0">
    <oddHeader>&amp;L&amp;"Arial CE,Pogrubiony"&amp;12FORMULARZ OFERTY&amp;RZałącznik nr 1 do specyfikacji</oddHeader>
    <oddFooter>&amp;RStrona &amp;P z &amp;N załącznika nr 1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2:P31"/>
  <sheetViews>
    <sheetView view="pageLayout" topLeftCell="A9" zoomScaleNormal="100" zoomScaleSheetLayoutView="100" workbookViewId="0">
      <selection activeCell="H9" sqref="H9:H18"/>
    </sheetView>
  </sheetViews>
  <sheetFormatPr defaultRowHeight="12.75" x14ac:dyDescent="0.2"/>
  <cols>
    <col min="1" max="1" width="4" customWidth="1"/>
    <col min="2" max="2" width="19.42578125" customWidth="1"/>
    <col min="3" max="3" width="11.5703125" customWidth="1"/>
    <col min="4" max="4" width="9.5703125" customWidth="1"/>
    <col min="5" max="5" width="11" customWidth="1"/>
    <col min="6" max="6" width="15.7109375" customWidth="1"/>
    <col min="7" max="7" width="15" customWidth="1"/>
    <col min="8" max="8" width="15.140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1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44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348</v>
      </c>
      <c r="C9" s="38" t="s">
        <v>349</v>
      </c>
      <c r="D9" s="31">
        <v>2006</v>
      </c>
      <c r="E9" s="50">
        <v>44077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348</v>
      </c>
      <c r="C10" s="38" t="s">
        <v>350</v>
      </c>
      <c r="D10" s="31">
        <v>2007</v>
      </c>
      <c r="E10" s="50">
        <v>44077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348</v>
      </c>
      <c r="C11" s="38" t="s">
        <v>79</v>
      </c>
      <c r="D11" s="31">
        <v>2006</v>
      </c>
      <c r="E11" s="50">
        <v>44077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30">
        <v>4</v>
      </c>
      <c r="B12" s="30" t="s">
        <v>348</v>
      </c>
      <c r="C12" s="38" t="s">
        <v>351</v>
      </c>
      <c r="D12" s="31">
        <v>2008</v>
      </c>
      <c r="E12" s="50">
        <v>44077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30">
        <v>5</v>
      </c>
      <c r="B13" s="30" t="s">
        <v>348</v>
      </c>
      <c r="C13" s="38" t="s">
        <v>352</v>
      </c>
      <c r="D13" s="31">
        <v>2007</v>
      </c>
      <c r="E13" s="50">
        <v>44077</v>
      </c>
      <c r="F13" s="31"/>
      <c r="G13" s="31"/>
      <c r="H13" s="31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30">
        <v>6</v>
      </c>
      <c r="B14" s="30" t="s">
        <v>353</v>
      </c>
      <c r="C14" s="38" t="s">
        <v>354</v>
      </c>
      <c r="D14" s="31">
        <v>1998</v>
      </c>
      <c r="E14" s="50">
        <v>44077</v>
      </c>
      <c r="F14" s="31"/>
      <c r="G14" s="31"/>
      <c r="H14" s="31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30">
        <v>7</v>
      </c>
      <c r="B15" s="30" t="s">
        <v>355</v>
      </c>
      <c r="C15" s="38" t="s">
        <v>76</v>
      </c>
      <c r="D15" s="31">
        <v>2010</v>
      </c>
      <c r="E15" s="50">
        <v>44077</v>
      </c>
      <c r="F15" s="31"/>
      <c r="G15" s="31"/>
      <c r="H15" s="31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30">
        <v>8</v>
      </c>
      <c r="B16" s="30" t="s">
        <v>355</v>
      </c>
      <c r="C16" s="38" t="s">
        <v>77</v>
      </c>
      <c r="D16" s="31">
        <v>2010</v>
      </c>
      <c r="E16" s="50">
        <v>44077</v>
      </c>
      <c r="F16" s="31"/>
      <c r="G16" s="31"/>
      <c r="H16" s="31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30">
        <v>9</v>
      </c>
      <c r="B17" s="30" t="s">
        <v>355</v>
      </c>
      <c r="C17" s="38" t="s">
        <v>78</v>
      </c>
      <c r="D17" s="31">
        <v>2009</v>
      </c>
      <c r="E17" s="50">
        <v>44077</v>
      </c>
      <c r="F17" s="31"/>
      <c r="G17" s="31"/>
      <c r="H17" s="31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30">
        <v>10</v>
      </c>
      <c r="B18" s="30" t="s">
        <v>355</v>
      </c>
      <c r="C18" s="38">
        <v>1386</v>
      </c>
      <c r="D18" s="31">
        <v>2012</v>
      </c>
      <c r="E18" s="50">
        <v>44077</v>
      </c>
      <c r="F18" s="31"/>
      <c r="G18" s="31"/>
      <c r="H18" s="31"/>
      <c r="I18" s="5"/>
      <c r="J18" s="5"/>
      <c r="K18" s="5"/>
      <c r="L18" s="5"/>
      <c r="M18" s="5"/>
      <c r="N18" s="5"/>
      <c r="O18" s="5"/>
      <c r="P18" s="5"/>
    </row>
    <row r="19" spans="1:16" ht="100.5" customHeight="1" x14ac:dyDescent="0.2">
      <c r="A19" s="33"/>
      <c r="B19" s="110" t="s">
        <v>523</v>
      </c>
      <c r="C19" s="110"/>
      <c r="D19" s="110"/>
      <c r="E19" s="110"/>
      <c r="F19" s="110"/>
      <c r="G19" s="31" t="s">
        <v>524</v>
      </c>
      <c r="H19" s="34"/>
      <c r="I19" s="5"/>
      <c r="J19" s="5"/>
      <c r="K19" s="5"/>
      <c r="L19" s="5"/>
      <c r="M19" s="5"/>
      <c r="N19" s="5"/>
      <c r="O19" s="5"/>
      <c r="P19" s="5"/>
    </row>
    <row r="20" spans="1:16" ht="66" customHeight="1" x14ac:dyDescent="0.2">
      <c r="B20" s="111" t="s">
        <v>594</v>
      </c>
      <c r="C20" s="111"/>
      <c r="D20" s="111"/>
      <c r="E20" s="111"/>
      <c r="F20" s="111"/>
      <c r="G20" s="31" t="s">
        <v>524</v>
      </c>
      <c r="H20" s="5"/>
      <c r="I20" s="5"/>
      <c r="J20" s="5"/>
      <c r="K20" s="5"/>
      <c r="L20" s="5"/>
      <c r="M20" s="5"/>
      <c r="N20" s="5"/>
      <c r="O20" s="5"/>
      <c r="P20" s="5"/>
    </row>
    <row r="21" spans="1:16" ht="49.5" customHeight="1" x14ac:dyDescent="0.2">
      <c r="B21" s="111" t="s">
        <v>317</v>
      </c>
      <c r="C21" s="111"/>
      <c r="D21" s="111"/>
      <c r="E21" s="111"/>
      <c r="F21" s="111"/>
      <c r="G21" s="31" t="s">
        <v>524</v>
      </c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">
      <c r="B22" s="35"/>
      <c r="C22" s="35"/>
      <c r="D22" s="35"/>
      <c r="E22" s="35"/>
      <c r="F22" s="3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">
      <c r="A23" s="119" t="s">
        <v>356</v>
      </c>
      <c r="B23" s="124"/>
      <c r="C23" s="125">
        <f>SUM(H9:H18)</f>
        <v>0</v>
      </c>
      <c r="D23" s="126"/>
      <c r="E23" s="127"/>
      <c r="F23" s="128" t="s">
        <v>334</v>
      </c>
      <c r="G23" s="129"/>
      <c r="H23" s="120"/>
      <c r="I23" s="130"/>
      <c r="J23" s="131"/>
      <c r="K23" s="132"/>
    </row>
    <row r="24" spans="1:16" x14ac:dyDescent="0.2">
      <c r="A24" s="119" t="s">
        <v>335</v>
      </c>
      <c r="B24" s="120"/>
      <c r="C24" s="121"/>
      <c r="D24" s="122"/>
      <c r="E24" s="122"/>
      <c r="F24" s="122"/>
      <c r="G24" s="122"/>
      <c r="H24" s="122"/>
      <c r="I24" s="122"/>
      <c r="J24" s="122"/>
      <c r="K24" s="123"/>
    </row>
    <row r="25" spans="1:16" x14ac:dyDescent="0.2">
      <c r="A25" s="7"/>
      <c r="B25" s="10"/>
    </row>
    <row r="26" spans="1:16" x14ac:dyDescent="0.2">
      <c r="A26" s="6"/>
      <c r="B26" s="10"/>
      <c r="C26" s="16"/>
      <c r="D26" s="10"/>
      <c r="E26" s="10"/>
      <c r="F26" s="10"/>
      <c r="G26" s="10"/>
      <c r="H26" s="10"/>
      <c r="I26" s="10"/>
      <c r="J26" s="10"/>
      <c r="K26" s="10"/>
    </row>
    <row r="27" spans="1:16" x14ac:dyDescent="0.2">
      <c r="A27" s="7"/>
      <c r="B27" s="7"/>
      <c r="C27" s="17"/>
    </row>
    <row r="28" spans="1:16" x14ac:dyDescent="0.2">
      <c r="K28" s="4"/>
      <c r="L28" s="4"/>
    </row>
    <row r="29" spans="1:16" x14ac:dyDescent="0.2">
      <c r="K29" s="4"/>
      <c r="L29" s="4"/>
    </row>
    <row r="30" spans="1:16" x14ac:dyDescent="0.2">
      <c r="I30" s="10"/>
      <c r="J30" s="10"/>
      <c r="K30" s="27"/>
      <c r="L30" s="15"/>
    </row>
    <row r="31" spans="1:16" x14ac:dyDescent="0.2">
      <c r="I31" s="15"/>
      <c r="J31" s="15"/>
      <c r="K31" s="15"/>
    </row>
  </sheetData>
  <mergeCells count="12">
    <mergeCell ref="A24:B24"/>
    <mergeCell ref="C24:K24"/>
    <mergeCell ref="A23:B23"/>
    <mergeCell ref="C23:E23"/>
    <mergeCell ref="F23:H23"/>
    <mergeCell ref="I23:K23"/>
    <mergeCell ref="B19:F19"/>
    <mergeCell ref="B20:F20"/>
    <mergeCell ref="B21:F21"/>
    <mergeCell ref="A4:B4"/>
    <mergeCell ref="B6:L6"/>
    <mergeCell ref="C4:K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8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"/>
  <dimension ref="A2:P26"/>
  <sheetViews>
    <sheetView view="pageLayout" zoomScaleNormal="100" zoomScaleSheetLayoutView="100" workbookViewId="0">
      <selection activeCell="C18" sqref="C18:E18"/>
    </sheetView>
  </sheetViews>
  <sheetFormatPr defaultRowHeight="12.75" x14ac:dyDescent="0.2"/>
  <cols>
    <col min="1" max="1" width="3.5703125" customWidth="1"/>
    <col min="2" max="2" width="36" customWidth="1"/>
    <col min="3" max="3" width="10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2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670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525</v>
      </c>
      <c r="C9" s="31">
        <v>1398</v>
      </c>
      <c r="D9" s="31">
        <v>2000</v>
      </c>
      <c r="E9" s="50">
        <v>44057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526</v>
      </c>
      <c r="C10" s="31">
        <v>775</v>
      </c>
      <c r="D10" s="31">
        <v>1997</v>
      </c>
      <c r="E10" s="50">
        <v>44057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527</v>
      </c>
      <c r="C11" s="31">
        <v>1291</v>
      </c>
      <c r="D11" s="31">
        <v>1998</v>
      </c>
      <c r="E11" s="50">
        <v>44057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ht="108" customHeight="1" x14ac:dyDescent="0.2">
      <c r="A12" s="33"/>
      <c r="B12" s="133" t="s">
        <v>665</v>
      </c>
      <c r="C12" s="133"/>
      <c r="D12" s="133"/>
      <c r="E12" s="133"/>
      <c r="F12" s="133"/>
      <c r="G12" s="31" t="s">
        <v>524</v>
      </c>
      <c r="H12" s="34"/>
      <c r="I12" s="5"/>
      <c r="J12" s="5"/>
      <c r="K12" s="5"/>
      <c r="L12" s="5"/>
      <c r="M12" s="5"/>
      <c r="N12" s="5"/>
      <c r="O12" s="5"/>
      <c r="P12" s="5"/>
    </row>
    <row r="13" spans="1:16" ht="54" customHeight="1" x14ac:dyDescent="0.2">
      <c r="A13" s="33"/>
      <c r="B13" s="133" t="s">
        <v>594</v>
      </c>
      <c r="C13" s="133"/>
      <c r="D13" s="133"/>
      <c r="E13" s="133"/>
      <c r="F13" s="133"/>
      <c r="G13" s="31" t="s">
        <v>524</v>
      </c>
      <c r="H13" s="34"/>
      <c r="I13" s="5"/>
      <c r="J13" s="5"/>
      <c r="K13" s="5"/>
      <c r="L13" s="5"/>
      <c r="M13" s="5"/>
      <c r="N13" s="5"/>
      <c r="O13" s="5"/>
      <c r="P13" s="5"/>
    </row>
    <row r="14" spans="1:16" ht="40.5" customHeight="1" x14ac:dyDescent="0.2">
      <c r="A14" s="33"/>
      <c r="B14" s="133" t="s">
        <v>318</v>
      </c>
      <c r="C14" s="133"/>
      <c r="D14" s="133"/>
      <c r="E14" s="133"/>
      <c r="F14" s="133"/>
      <c r="G14" s="31" t="s">
        <v>524</v>
      </c>
      <c r="H14" s="34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33"/>
      <c r="B15" s="33"/>
      <c r="C15" s="34"/>
      <c r="D15" s="34"/>
      <c r="E15" s="34"/>
      <c r="F15" s="34"/>
      <c r="G15" s="34"/>
      <c r="H15" s="34"/>
      <c r="I15" s="5"/>
      <c r="J15" s="5"/>
      <c r="K15" s="5"/>
      <c r="L15" s="5"/>
      <c r="M15" s="5"/>
      <c r="N15" s="5"/>
      <c r="O15" s="5"/>
      <c r="P15" s="5"/>
    </row>
    <row r="16" spans="1:16" x14ac:dyDescent="0.2">
      <c r="B16" s="3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x14ac:dyDescent="0.2">
      <c r="B17" s="3"/>
      <c r="C17" s="32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119" t="s">
        <v>356</v>
      </c>
      <c r="B18" s="124"/>
      <c r="C18" s="125"/>
      <c r="D18" s="126"/>
      <c r="E18" s="127"/>
      <c r="F18" s="128" t="s">
        <v>334</v>
      </c>
      <c r="G18" s="129"/>
      <c r="H18" s="120"/>
      <c r="I18" s="130"/>
      <c r="J18" s="131"/>
      <c r="K18" s="132"/>
    </row>
    <row r="19" spans="1:16" x14ac:dyDescent="0.2">
      <c r="A19" s="119" t="s">
        <v>335</v>
      </c>
      <c r="B19" s="120"/>
      <c r="C19" s="121"/>
      <c r="D19" s="122"/>
      <c r="E19" s="122"/>
      <c r="F19" s="122"/>
      <c r="G19" s="122"/>
      <c r="H19" s="122"/>
      <c r="I19" s="122"/>
      <c r="J19" s="122"/>
      <c r="K19" s="123"/>
    </row>
    <row r="20" spans="1:16" x14ac:dyDescent="0.2">
      <c r="A20" s="7"/>
      <c r="B20" s="10"/>
    </row>
    <row r="21" spans="1:16" x14ac:dyDescent="0.2">
      <c r="A21" s="6"/>
      <c r="B21" s="10"/>
      <c r="C21" s="16"/>
      <c r="D21" s="10"/>
      <c r="E21" s="10"/>
      <c r="F21" s="10"/>
      <c r="G21" s="10"/>
      <c r="H21" s="10"/>
      <c r="I21" s="10"/>
      <c r="J21" s="10"/>
      <c r="K21" s="10"/>
    </row>
    <row r="22" spans="1:16" x14ac:dyDescent="0.2">
      <c r="A22" s="7"/>
      <c r="B22" s="7"/>
      <c r="C22" s="17"/>
    </row>
    <row r="23" spans="1:16" x14ac:dyDescent="0.2">
      <c r="K23" s="4"/>
      <c r="L23" s="4"/>
    </row>
    <row r="24" spans="1:16" x14ac:dyDescent="0.2">
      <c r="K24" s="4"/>
      <c r="L24" s="4"/>
    </row>
    <row r="25" spans="1:16" x14ac:dyDescent="0.2">
      <c r="I25" s="10"/>
      <c r="J25" s="10"/>
      <c r="K25" s="27"/>
      <c r="L25" s="15"/>
    </row>
    <row r="26" spans="1:16" x14ac:dyDescent="0.2">
      <c r="I26" s="15"/>
      <c r="J26" s="15"/>
      <c r="K26" s="15"/>
    </row>
  </sheetData>
  <mergeCells count="12">
    <mergeCell ref="B13:F13"/>
    <mergeCell ref="B14:F14"/>
    <mergeCell ref="A19:B19"/>
    <mergeCell ref="C19:K19"/>
    <mergeCell ref="A4:B4"/>
    <mergeCell ref="C4:K4"/>
    <mergeCell ref="B6:L6"/>
    <mergeCell ref="A18:B18"/>
    <mergeCell ref="C18:E18"/>
    <mergeCell ref="F18:H18"/>
    <mergeCell ref="I18:K18"/>
    <mergeCell ref="B12:F1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4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/>
  <dimension ref="A2:P26"/>
  <sheetViews>
    <sheetView view="pageLayout" topLeftCell="A18" zoomScaleNormal="100" zoomScaleSheetLayoutView="100" workbookViewId="0">
      <selection activeCell="C18" sqref="C18:E18"/>
    </sheetView>
  </sheetViews>
  <sheetFormatPr defaultRowHeight="12.75" x14ac:dyDescent="0.2"/>
  <cols>
    <col min="1" max="1" width="4.28515625" customWidth="1"/>
    <col min="2" max="2" width="27.5703125" bestFit="1" customWidth="1"/>
    <col min="3" max="3" width="13.140625" customWidth="1"/>
    <col min="4" max="6" width="12.140625" customWidth="1"/>
    <col min="7" max="7" width="12.85546875" customWidth="1"/>
    <col min="8" max="8" width="14.140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3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45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530</v>
      </c>
      <c r="C9" s="31" t="s">
        <v>531</v>
      </c>
      <c r="D9" s="31">
        <v>2007</v>
      </c>
      <c r="E9" s="50">
        <v>44086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532</v>
      </c>
      <c r="C10" s="31" t="s">
        <v>533</v>
      </c>
      <c r="D10" s="31">
        <v>2007</v>
      </c>
      <c r="E10" s="50">
        <v>44086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534</v>
      </c>
      <c r="C11" s="31">
        <v>2023132</v>
      </c>
      <c r="D11" s="31">
        <v>2007</v>
      </c>
      <c r="E11" s="50">
        <v>44086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ht="25.5" x14ac:dyDescent="0.2">
      <c r="A12" s="30">
        <v>4</v>
      </c>
      <c r="B12" s="36" t="s">
        <v>622</v>
      </c>
      <c r="C12" s="30" t="s">
        <v>623</v>
      </c>
      <c r="D12" s="43">
        <v>2015</v>
      </c>
      <c r="E12" s="50">
        <v>44086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ht="144.75" customHeight="1" x14ac:dyDescent="0.2">
      <c r="A13" s="33"/>
      <c r="B13" s="110" t="s">
        <v>541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  <c r="M13" s="5"/>
      <c r="N13" s="5"/>
      <c r="O13" s="5"/>
      <c r="P13" s="5"/>
    </row>
    <row r="14" spans="1:16" ht="61.5" customHeight="1" x14ac:dyDescent="0.2">
      <c r="A14" s="33"/>
      <c r="B14" s="110" t="s">
        <v>594</v>
      </c>
      <c r="C14" s="110"/>
      <c r="D14" s="110"/>
      <c r="E14" s="110"/>
      <c r="F14" s="110"/>
      <c r="G14" s="31" t="s">
        <v>524</v>
      </c>
      <c r="H14" s="34"/>
      <c r="I14" s="5"/>
      <c r="J14" s="5"/>
      <c r="K14" s="5"/>
      <c r="L14" s="5"/>
      <c r="M14" s="5"/>
      <c r="N14" s="5"/>
      <c r="O14" s="5"/>
      <c r="P14" s="5"/>
    </row>
    <row r="15" spans="1:16" ht="43.5" customHeight="1" x14ac:dyDescent="0.2">
      <c r="A15" s="33"/>
      <c r="B15" s="110" t="s">
        <v>318</v>
      </c>
      <c r="C15" s="110"/>
      <c r="D15" s="110"/>
      <c r="E15" s="110"/>
      <c r="F15" s="110"/>
      <c r="G15" s="31" t="s">
        <v>524</v>
      </c>
      <c r="H15" s="34"/>
      <c r="I15" s="5"/>
      <c r="J15" s="5"/>
      <c r="K15" s="5"/>
      <c r="L15" s="5"/>
      <c r="M15" s="5"/>
      <c r="N15" s="5"/>
      <c r="O15" s="5"/>
      <c r="P15" s="5"/>
    </row>
    <row r="16" spans="1:16" x14ac:dyDescent="0.2">
      <c r="B16" s="3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x14ac:dyDescent="0.2">
      <c r="B17" s="3"/>
      <c r="C17" s="32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119" t="s">
        <v>356</v>
      </c>
      <c r="B18" s="124"/>
      <c r="C18" s="125"/>
      <c r="D18" s="126"/>
      <c r="E18" s="127"/>
      <c r="F18" s="128" t="s">
        <v>334</v>
      </c>
      <c r="G18" s="129"/>
      <c r="H18" s="120"/>
      <c r="I18" s="130"/>
      <c r="J18" s="131"/>
      <c r="K18" s="132"/>
    </row>
    <row r="19" spans="1:16" x14ac:dyDescent="0.2">
      <c r="A19" s="119" t="s">
        <v>335</v>
      </c>
      <c r="B19" s="120"/>
      <c r="C19" s="121"/>
      <c r="D19" s="122"/>
      <c r="E19" s="122"/>
      <c r="F19" s="122"/>
      <c r="G19" s="122"/>
      <c r="H19" s="122"/>
      <c r="I19" s="122"/>
      <c r="J19" s="122"/>
      <c r="K19" s="123"/>
    </row>
    <row r="20" spans="1:16" x14ac:dyDescent="0.2">
      <c r="A20" s="7"/>
      <c r="B20" s="10"/>
    </row>
    <row r="21" spans="1:16" x14ac:dyDescent="0.2">
      <c r="A21" s="6"/>
      <c r="B21" s="10"/>
      <c r="C21" s="16"/>
      <c r="D21" s="10"/>
      <c r="E21" s="10"/>
      <c r="F21" s="10"/>
      <c r="G21" s="10"/>
      <c r="H21" s="10"/>
      <c r="I21" s="10"/>
      <c r="J21" s="10"/>
      <c r="K21" s="10"/>
    </row>
    <row r="22" spans="1:16" x14ac:dyDescent="0.2">
      <c r="A22" s="7"/>
      <c r="B22" s="7"/>
      <c r="C22" s="17"/>
    </row>
    <row r="23" spans="1:16" x14ac:dyDescent="0.2">
      <c r="K23" s="4"/>
      <c r="L23" s="4"/>
    </row>
    <row r="24" spans="1:16" x14ac:dyDescent="0.2">
      <c r="K24" s="4"/>
      <c r="L24" s="4"/>
    </row>
    <row r="25" spans="1:16" x14ac:dyDescent="0.2">
      <c r="I25" s="10"/>
      <c r="J25" s="10"/>
      <c r="K25" s="27"/>
      <c r="L25" s="15"/>
    </row>
    <row r="26" spans="1:16" x14ac:dyDescent="0.2">
      <c r="I26" s="15"/>
      <c r="J26" s="15"/>
      <c r="K26" s="15"/>
    </row>
  </sheetData>
  <mergeCells count="12">
    <mergeCell ref="B14:F14"/>
    <mergeCell ref="B15:F15"/>
    <mergeCell ref="A19:B19"/>
    <mergeCell ref="C19:K19"/>
    <mergeCell ref="A4:B4"/>
    <mergeCell ref="C4:K4"/>
    <mergeCell ref="B6:L6"/>
    <mergeCell ref="A18:B18"/>
    <mergeCell ref="C18:E18"/>
    <mergeCell ref="F18:H18"/>
    <mergeCell ref="I18:K18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6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"/>
  <dimension ref="A2:P31"/>
  <sheetViews>
    <sheetView view="pageLayout" topLeftCell="A19" zoomScaleNormal="100" zoomScaleSheetLayoutView="100" workbookViewId="0">
      <selection activeCell="H9" sqref="H9:H18"/>
    </sheetView>
  </sheetViews>
  <sheetFormatPr defaultRowHeight="12.75" x14ac:dyDescent="0.2"/>
  <cols>
    <col min="1" max="1" width="5.42578125" customWidth="1"/>
    <col min="2" max="2" width="19.42578125" customWidth="1"/>
    <col min="3" max="3" width="12.140625" customWidth="1"/>
    <col min="4" max="4" width="11.140625" customWidth="1"/>
    <col min="5" max="5" width="16.5703125" customWidth="1"/>
    <col min="6" max="6" width="14.42578125" customWidth="1"/>
    <col min="7" max="7" width="11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46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67">
        <v>1</v>
      </c>
      <c r="B9" s="67" t="s">
        <v>114</v>
      </c>
      <c r="C9" s="38" t="s">
        <v>115</v>
      </c>
      <c r="D9" s="31">
        <v>2014</v>
      </c>
      <c r="E9" s="50">
        <v>44182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67">
        <v>2</v>
      </c>
      <c r="B10" s="67" t="s">
        <v>114</v>
      </c>
      <c r="C10" s="38" t="s">
        <v>116</v>
      </c>
      <c r="D10" s="31">
        <v>2014</v>
      </c>
      <c r="E10" s="50">
        <v>44182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67">
        <v>3</v>
      </c>
      <c r="B11" s="67" t="s">
        <v>114</v>
      </c>
      <c r="C11" s="38" t="s">
        <v>117</v>
      </c>
      <c r="D11" s="31">
        <v>2014</v>
      </c>
      <c r="E11" s="50">
        <v>44182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67">
        <v>4</v>
      </c>
      <c r="B12" s="67" t="s">
        <v>184</v>
      </c>
      <c r="C12" s="38" t="s">
        <v>185</v>
      </c>
      <c r="D12" s="31">
        <v>2013</v>
      </c>
      <c r="E12" s="50">
        <v>44104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ht="25.5" x14ac:dyDescent="0.2">
      <c r="A13" s="67">
        <v>5</v>
      </c>
      <c r="B13" s="67" t="s">
        <v>118</v>
      </c>
      <c r="C13" s="38" t="s">
        <v>119</v>
      </c>
      <c r="D13" s="31">
        <v>2014</v>
      </c>
      <c r="E13" s="50">
        <v>44182</v>
      </c>
      <c r="F13" s="31"/>
      <c r="G13" s="31"/>
      <c r="H13" s="31"/>
      <c r="I13" s="5"/>
      <c r="J13" s="5"/>
      <c r="K13" s="5"/>
      <c r="L13" s="5"/>
      <c r="M13" s="5"/>
      <c r="N13" s="5"/>
      <c r="O13" s="5"/>
      <c r="P13" s="5"/>
    </row>
    <row r="14" spans="1:16" ht="25.5" x14ac:dyDescent="0.2">
      <c r="A14" s="67">
        <v>6</v>
      </c>
      <c r="B14" s="67" t="s">
        <v>118</v>
      </c>
      <c r="C14" s="38" t="s">
        <v>120</v>
      </c>
      <c r="D14" s="31">
        <v>2014</v>
      </c>
      <c r="E14" s="50">
        <v>44182</v>
      </c>
      <c r="F14" s="31"/>
      <c r="G14" s="31"/>
      <c r="H14" s="31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67">
        <v>7</v>
      </c>
      <c r="B15" s="67" t="s">
        <v>121</v>
      </c>
      <c r="C15" s="38" t="s">
        <v>123</v>
      </c>
      <c r="D15" s="31">
        <v>2014</v>
      </c>
      <c r="E15" s="50">
        <v>44182</v>
      </c>
      <c r="F15" s="31"/>
      <c r="G15" s="31"/>
      <c r="H15" s="31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67">
        <v>8</v>
      </c>
      <c r="B16" s="67" t="s">
        <v>121</v>
      </c>
      <c r="C16" s="38" t="s">
        <v>124</v>
      </c>
      <c r="D16" s="31">
        <v>2014</v>
      </c>
      <c r="E16" s="50">
        <v>44182</v>
      </c>
      <c r="F16" s="31"/>
      <c r="G16" s="31"/>
      <c r="H16" s="31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67">
        <v>9</v>
      </c>
      <c r="B17" s="67" t="s">
        <v>122</v>
      </c>
      <c r="C17" s="38" t="s">
        <v>125</v>
      </c>
      <c r="D17" s="31">
        <v>2014</v>
      </c>
      <c r="E17" s="50">
        <v>44182</v>
      </c>
      <c r="F17" s="31"/>
      <c r="G17" s="31"/>
      <c r="H17" s="31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67">
        <v>10</v>
      </c>
      <c r="B18" s="67" t="s">
        <v>122</v>
      </c>
      <c r="C18" s="68" t="s">
        <v>126</v>
      </c>
      <c r="D18" s="31">
        <v>2014</v>
      </c>
      <c r="E18" s="50">
        <v>44182</v>
      </c>
      <c r="F18" s="31"/>
      <c r="G18" s="31"/>
      <c r="H18" s="31"/>
      <c r="I18" s="5"/>
      <c r="J18" s="5"/>
      <c r="K18" s="5"/>
      <c r="L18" s="5"/>
      <c r="M18" s="5"/>
      <c r="N18" s="5"/>
      <c r="O18" s="5"/>
      <c r="P18" s="5"/>
    </row>
    <row r="19" spans="1:16" ht="120.75" customHeight="1" x14ac:dyDescent="0.2">
      <c r="A19" s="33"/>
      <c r="B19" s="110" t="s">
        <v>288</v>
      </c>
      <c r="C19" s="110"/>
      <c r="D19" s="110"/>
      <c r="E19" s="110"/>
      <c r="F19" s="110"/>
      <c r="G19" s="31" t="s">
        <v>524</v>
      </c>
      <c r="H19" s="34"/>
      <c r="I19" s="5"/>
      <c r="J19" s="5"/>
      <c r="K19" s="5"/>
      <c r="L19" s="5"/>
      <c r="M19" s="5"/>
      <c r="N19" s="5"/>
      <c r="O19" s="5"/>
      <c r="P19" s="5"/>
    </row>
    <row r="20" spans="1:16" ht="55.5" customHeight="1" x14ac:dyDescent="0.2">
      <c r="A20" s="33"/>
      <c r="B20" s="110" t="s">
        <v>594</v>
      </c>
      <c r="C20" s="110"/>
      <c r="D20" s="110"/>
      <c r="E20" s="110"/>
      <c r="F20" s="110"/>
      <c r="G20" s="31" t="s">
        <v>524</v>
      </c>
      <c r="H20" s="34"/>
      <c r="I20" s="5"/>
      <c r="J20" s="5"/>
      <c r="K20" s="5"/>
      <c r="L20" s="5"/>
      <c r="M20" s="5"/>
      <c r="N20" s="5"/>
      <c r="O20" s="5"/>
      <c r="P20" s="5"/>
    </row>
    <row r="21" spans="1:16" ht="54" customHeight="1" x14ac:dyDescent="0.2">
      <c r="B21" s="135" t="s">
        <v>287</v>
      </c>
      <c r="C21" s="135"/>
      <c r="D21" s="135"/>
      <c r="E21" s="135"/>
      <c r="F21" s="135"/>
      <c r="G21" s="31" t="s">
        <v>524</v>
      </c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">
      <c r="B22" s="3"/>
      <c r="C22" s="32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">
      <c r="A23" s="119" t="s">
        <v>356</v>
      </c>
      <c r="B23" s="124"/>
      <c r="C23" s="125">
        <f>SUM(H9:H18)</f>
        <v>0</v>
      </c>
      <c r="D23" s="126"/>
      <c r="E23" s="127"/>
      <c r="F23" s="128" t="s">
        <v>334</v>
      </c>
      <c r="G23" s="129"/>
      <c r="H23" s="120"/>
      <c r="I23" s="130"/>
      <c r="J23" s="131"/>
      <c r="K23" s="132"/>
    </row>
    <row r="24" spans="1:16" x14ac:dyDescent="0.2">
      <c r="A24" s="119" t="s">
        <v>335</v>
      </c>
      <c r="B24" s="120"/>
      <c r="C24" s="121"/>
      <c r="D24" s="122"/>
      <c r="E24" s="122"/>
      <c r="F24" s="122"/>
      <c r="G24" s="122"/>
      <c r="H24" s="122"/>
      <c r="I24" s="122"/>
      <c r="J24" s="122"/>
      <c r="K24" s="123"/>
    </row>
    <row r="25" spans="1:16" x14ac:dyDescent="0.2">
      <c r="A25" s="7"/>
      <c r="B25" s="10"/>
    </row>
    <row r="26" spans="1:16" x14ac:dyDescent="0.2">
      <c r="A26" s="6"/>
      <c r="B26" s="10"/>
      <c r="C26" s="16"/>
      <c r="D26" s="10"/>
      <c r="E26" s="10"/>
      <c r="F26" s="10"/>
      <c r="G26" s="10"/>
      <c r="H26" s="10"/>
      <c r="I26" s="10"/>
      <c r="J26" s="10"/>
      <c r="K26" s="10"/>
    </row>
    <row r="27" spans="1:16" x14ac:dyDescent="0.2">
      <c r="A27" s="7"/>
      <c r="B27" s="7"/>
      <c r="C27" s="17"/>
    </row>
    <row r="28" spans="1:16" x14ac:dyDescent="0.2">
      <c r="K28" s="4"/>
      <c r="L28" s="4"/>
    </row>
    <row r="29" spans="1:16" x14ac:dyDescent="0.2">
      <c r="K29" s="4"/>
      <c r="L29" s="4"/>
    </row>
    <row r="30" spans="1:16" x14ac:dyDescent="0.2">
      <c r="I30" s="10"/>
      <c r="J30" s="10"/>
      <c r="K30" s="27"/>
      <c r="L30" s="15"/>
    </row>
    <row r="31" spans="1:16" x14ac:dyDescent="0.2">
      <c r="I31" s="15"/>
      <c r="J31" s="15"/>
      <c r="K31" s="15"/>
    </row>
  </sheetData>
  <mergeCells count="12">
    <mergeCell ref="B20:F20"/>
    <mergeCell ref="B21:F21"/>
    <mergeCell ref="A24:B24"/>
    <mergeCell ref="C24:K24"/>
    <mergeCell ref="A4:B4"/>
    <mergeCell ref="C4:K4"/>
    <mergeCell ref="B6:L6"/>
    <mergeCell ref="A23:B23"/>
    <mergeCell ref="C23:E23"/>
    <mergeCell ref="F23:H23"/>
    <mergeCell ref="I23:K23"/>
    <mergeCell ref="B19:F19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0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"/>
  <dimension ref="A2:P40"/>
  <sheetViews>
    <sheetView view="pageLayout" topLeftCell="A30" zoomScaleNormal="100" zoomScaleSheetLayoutView="100" workbookViewId="0">
      <selection activeCell="H9" sqref="H9:H27"/>
    </sheetView>
  </sheetViews>
  <sheetFormatPr defaultRowHeight="12.75" x14ac:dyDescent="0.2"/>
  <cols>
    <col min="1" max="1" width="5" customWidth="1"/>
    <col min="2" max="2" width="23.5703125" customWidth="1"/>
    <col min="3" max="3" width="12.140625" customWidth="1"/>
    <col min="4" max="4" width="11.28515625" customWidth="1"/>
    <col min="5" max="6" width="11.7109375" customWidth="1"/>
    <col min="7" max="7" width="11.85546875" customWidth="1"/>
    <col min="8" max="8" width="13.71093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5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671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555</v>
      </c>
      <c r="C9" s="31">
        <v>2500407</v>
      </c>
      <c r="D9" s="31">
        <v>2005</v>
      </c>
      <c r="E9" s="50">
        <v>44280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544</v>
      </c>
      <c r="C10" s="31">
        <v>2512928</v>
      </c>
      <c r="D10" s="31">
        <v>2005</v>
      </c>
      <c r="E10" s="50">
        <v>44280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545</v>
      </c>
      <c r="C11" s="31">
        <v>2707212</v>
      </c>
      <c r="D11" s="31">
        <v>2007</v>
      </c>
      <c r="E11" s="50">
        <v>44341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30">
        <v>4</v>
      </c>
      <c r="B12" s="30" t="s">
        <v>546</v>
      </c>
      <c r="C12" s="31" t="s">
        <v>547</v>
      </c>
      <c r="D12" s="31">
        <v>2009</v>
      </c>
      <c r="E12" s="50">
        <v>44280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30">
        <v>5</v>
      </c>
      <c r="B13" s="30" t="s">
        <v>556</v>
      </c>
      <c r="C13" s="31">
        <v>2400846</v>
      </c>
      <c r="D13" s="31">
        <v>2014</v>
      </c>
      <c r="E13" s="50">
        <v>44135</v>
      </c>
      <c r="F13" s="31"/>
      <c r="G13" s="31"/>
      <c r="H13" s="31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30">
        <v>6</v>
      </c>
      <c r="B14" s="30" t="s">
        <v>557</v>
      </c>
      <c r="C14" s="31">
        <v>2414276</v>
      </c>
      <c r="D14" s="31">
        <v>2014</v>
      </c>
      <c r="E14" s="50">
        <v>44280</v>
      </c>
      <c r="F14" s="31"/>
      <c r="G14" s="31"/>
      <c r="H14" s="31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30">
        <v>7</v>
      </c>
      <c r="B15" s="30" t="s">
        <v>186</v>
      </c>
      <c r="C15" s="31">
        <v>2731449</v>
      </c>
      <c r="D15" s="31">
        <v>2017</v>
      </c>
      <c r="E15" s="50">
        <v>44260</v>
      </c>
      <c r="F15" s="31"/>
      <c r="G15" s="31"/>
      <c r="H15" s="31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30">
        <v>8</v>
      </c>
      <c r="B16" s="30" t="s">
        <v>186</v>
      </c>
      <c r="C16" s="31">
        <v>2731452</v>
      </c>
      <c r="D16" s="31">
        <v>2017</v>
      </c>
      <c r="E16" s="50">
        <v>44216</v>
      </c>
      <c r="F16" s="31"/>
      <c r="G16" s="31"/>
      <c r="H16" s="31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30">
        <v>9</v>
      </c>
      <c r="B17" s="30" t="str">
        <f>"OFP-2"</f>
        <v>OFP-2</v>
      </c>
      <c r="C17" s="31" t="str">
        <f>"21413143"</f>
        <v>21413143</v>
      </c>
      <c r="D17" s="31">
        <v>2014</v>
      </c>
      <c r="E17" s="50">
        <v>44135</v>
      </c>
      <c r="F17" s="31"/>
      <c r="G17" s="31"/>
      <c r="H17" s="31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30">
        <v>10</v>
      </c>
      <c r="B18" s="30" t="str">
        <f>"OFP-2"</f>
        <v>OFP-2</v>
      </c>
      <c r="C18" s="31" t="str">
        <f>"21411277"</f>
        <v>21411277</v>
      </c>
      <c r="D18" s="31">
        <v>2014</v>
      </c>
      <c r="E18" s="50">
        <v>44135</v>
      </c>
      <c r="F18" s="31"/>
      <c r="G18" s="31"/>
      <c r="H18" s="31"/>
      <c r="I18" s="5"/>
      <c r="J18" s="5"/>
      <c r="K18" s="5"/>
      <c r="L18" s="5"/>
      <c r="M18" s="5"/>
      <c r="N18" s="5"/>
      <c r="O18" s="5"/>
      <c r="P18" s="5"/>
    </row>
    <row r="19" spans="1:16" x14ac:dyDescent="0.2">
      <c r="A19" s="30">
        <v>11</v>
      </c>
      <c r="B19" s="30" t="str">
        <f>"CV-160"</f>
        <v>CV-160</v>
      </c>
      <c r="C19" s="31" t="str">
        <f>"7539116"</f>
        <v>7539116</v>
      </c>
      <c r="D19" s="31">
        <v>2006</v>
      </c>
      <c r="E19" s="50">
        <v>44135</v>
      </c>
      <c r="F19" s="31"/>
      <c r="G19" s="31"/>
      <c r="H19" s="31"/>
      <c r="I19" s="5"/>
      <c r="J19" s="5"/>
      <c r="K19" s="5"/>
      <c r="L19" s="5"/>
      <c r="M19" s="5"/>
      <c r="N19" s="5"/>
      <c r="O19" s="5"/>
      <c r="P19" s="5"/>
    </row>
    <row r="20" spans="1:16" x14ac:dyDescent="0.2">
      <c r="A20" s="30">
        <v>12</v>
      </c>
      <c r="B20" s="30" t="str">
        <f>"CV-190"</f>
        <v>CV-190</v>
      </c>
      <c r="C20" s="31" t="str">
        <f>"7455791"</f>
        <v>7455791</v>
      </c>
      <c r="D20" s="31">
        <v>2014</v>
      </c>
      <c r="E20" s="50">
        <v>44135</v>
      </c>
      <c r="F20" s="31"/>
      <c r="G20" s="31"/>
      <c r="H20" s="31"/>
      <c r="I20" s="5"/>
      <c r="J20" s="5"/>
      <c r="K20" s="5"/>
      <c r="L20" s="5"/>
      <c r="M20" s="5"/>
      <c r="N20" s="5"/>
      <c r="O20" s="5"/>
      <c r="P20" s="5"/>
    </row>
    <row r="21" spans="1:16" x14ac:dyDescent="0.2">
      <c r="A21" s="30">
        <v>13</v>
      </c>
      <c r="B21" s="30" t="str">
        <f>"CV-190"</f>
        <v>CV-190</v>
      </c>
      <c r="C21" s="31" t="str">
        <f>"7406699"</f>
        <v>7406699</v>
      </c>
      <c r="D21" s="31">
        <v>2014</v>
      </c>
      <c r="E21" s="50">
        <v>44135</v>
      </c>
      <c r="F21" s="31"/>
      <c r="G21" s="31"/>
      <c r="H21" s="31"/>
      <c r="I21" s="5"/>
      <c r="J21" s="5"/>
      <c r="K21" s="5"/>
      <c r="L21" s="5"/>
      <c r="M21" s="5"/>
      <c r="N21" s="5"/>
      <c r="O21" s="5"/>
      <c r="P21" s="5"/>
    </row>
    <row r="22" spans="1:16" x14ac:dyDescent="0.2">
      <c r="A22" s="30">
        <v>14</v>
      </c>
      <c r="B22" s="30" t="str">
        <f>"Wózek endoskopowy"</f>
        <v>Wózek endoskopowy</v>
      </c>
      <c r="C22" s="31" t="str">
        <f>"802-59-1"</f>
        <v>802-59-1</v>
      </c>
      <c r="D22" s="31">
        <v>2006</v>
      </c>
      <c r="E22" s="50">
        <v>44135</v>
      </c>
      <c r="F22" s="31"/>
      <c r="G22" s="31"/>
      <c r="H22" s="31"/>
      <c r="I22" s="5"/>
      <c r="J22" s="5"/>
      <c r="K22" s="5"/>
      <c r="L22" s="5"/>
      <c r="M22" s="5"/>
      <c r="N22" s="5"/>
      <c r="O22" s="5"/>
      <c r="P22" s="5"/>
    </row>
    <row r="23" spans="1:16" x14ac:dyDescent="0.2">
      <c r="A23" s="30">
        <v>15</v>
      </c>
      <c r="B23" s="30" t="str">
        <f>"WM-NP2"</f>
        <v>WM-NP2</v>
      </c>
      <c r="C23" s="31" t="str">
        <f>"21415444"</f>
        <v>21415444</v>
      </c>
      <c r="D23" s="31">
        <v>2014</v>
      </c>
      <c r="E23" s="50">
        <v>44135</v>
      </c>
      <c r="F23" s="31"/>
      <c r="G23" s="31"/>
      <c r="H23" s="31"/>
      <c r="I23" s="5"/>
      <c r="J23" s="5"/>
      <c r="K23" s="5"/>
      <c r="L23" s="5"/>
      <c r="M23" s="5"/>
      <c r="N23" s="5"/>
      <c r="O23" s="5"/>
      <c r="P23" s="5"/>
    </row>
    <row r="24" spans="1:16" x14ac:dyDescent="0.2">
      <c r="A24" s="30">
        <v>16</v>
      </c>
      <c r="B24" s="30" t="str">
        <f>"WM-NP2"</f>
        <v>WM-NP2</v>
      </c>
      <c r="C24" s="31" t="str">
        <f>"21416379"</f>
        <v>21416379</v>
      </c>
      <c r="D24" s="31">
        <v>2014</v>
      </c>
      <c r="E24" s="50">
        <v>44135</v>
      </c>
      <c r="F24" s="31"/>
      <c r="G24" s="31"/>
      <c r="H24" s="31"/>
      <c r="I24" s="5"/>
      <c r="J24" s="5"/>
      <c r="K24" s="5"/>
      <c r="L24" s="5"/>
      <c r="M24" s="5"/>
      <c r="N24" s="5"/>
      <c r="O24" s="5"/>
      <c r="P24" s="5"/>
    </row>
    <row r="25" spans="1:16" x14ac:dyDescent="0.2">
      <c r="A25" s="30">
        <v>17</v>
      </c>
      <c r="B25" s="30" t="str">
        <f>"CLV-160"</f>
        <v>CLV-160</v>
      </c>
      <c r="C25" s="31" t="str">
        <f>"7546609"</f>
        <v>7546609</v>
      </c>
      <c r="D25" s="31">
        <v>2006</v>
      </c>
      <c r="E25" s="50">
        <v>44135</v>
      </c>
      <c r="F25" s="31"/>
      <c r="G25" s="31"/>
      <c r="H25" s="31"/>
      <c r="I25" s="5"/>
      <c r="J25" s="5"/>
      <c r="K25" s="5"/>
      <c r="L25" s="5"/>
      <c r="M25" s="5"/>
      <c r="N25" s="5"/>
      <c r="O25" s="5"/>
      <c r="P25" s="5"/>
    </row>
    <row r="26" spans="1:16" x14ac:dyDescent="0.2">
      <c r="A26" s="30">
        <v>18</v>
      </c>
      <c r="B26" s="30" t="str">
        <f>"CLV-190"</f>
        <v>CLV-190</v>
      </c>
      <c r="C26" s="31" t="str">
        <f>"7406764"</f>
        <v>7406764</v>
      </c>
      <c r="D26" s="31">
        <v>2014</v>
      </c>
      <c r="E26" s="50">
        <v>44135</v>
      </c>
      <c r="F26" s="31"/>
      <c r="G26" s="31"/>
      <c r="H26" s="31"/>
      <c r="I26" s="5"/>
      <c r="J26" s="5"/>
      <c r="K26" s="5"/>
      <c r="L26" s="5"/>
      <c r="M26" s="5"/>
      <c r="N26" s="5"/>
      <c r="O26" s="5"/>
      <c r="P26" s="5"/>
    </row>
    <row r="27" spans="1:16" x14ac:dyDescent="0.2">
      <c r="A27" s="30">
        <v>19</v>
      </c>
      <c r="B27" s="54" t="str">
        <f>"CLV-190"</f>
        <v>CLV-190</v>
      </c>
      <c r="C27" s="53" t="str">
        <f>"7455798"</f>
        <v>7455798</v>
      </c>
      <c r="D27" s="53">
        <v>2014</v>
      </c>
      <c r="E27" s="50">
        <v>44135</v>
      </c>
      <c r="F27" s="31"/>
      <c r="G27" s="31"/>
      <c r="H27" s="31"/>
      <c r="I27" s="5"/>
      <c r="J27" s="5"/>
      <c r="K27" s="5"/>
      <c r="L27" s="5"/>
      <c r="M27" s="5"/>
      <c r="N27" s="5"/>
      <c r="O27" s="5"/>
      <c r="P27" s="5"/>
    </row>
    <row r="28" spans="1:16" ht="192.75" customHeight="1" x14ac:dyDescent="0.2">
      <c r="A28" s="33"/>
      <c r="B28" s="110" t="s">
        <v>205</v>
      </c>
      <c r="C28" s="110"/>
      <c r="D28" s="110"/>
      <c r="E28" s="110"/>
      <c r="F28" s="110"/>
      <c r="G28" s="31" t="s">
        <v>524</v>
      </c>
      <c r="H28" s="34"/>
      <c r="I28" s="5"/>
      <c r="J28" s="5"/>
      <c r="K28" s="5"/>
      <c r="L28" s="5"/>
      <c r="M28" s="5"/>
      <c r="N28" s="5"/>
      <c r="O28" s="5"/>
      <c r="P28" s="5"/>
    </row>
    <row r="29" spans="1:16" ht="117.75" customHeight="1" x14ac:dyDescent="0.2">
      <c r="A29" s="33"/>
      <c r="B29" s="110" t="s">
        <v>211</v>
      </c>
      <c r="C29" s="110"/>
      <c r="D29" s="110"/>
      <c r="E29" s="110"/>
      <c r="F29" s="110"/>
      <c r="G29" s="31" t="s">
        <v>524</v>
      </c>
      <c r="H29" s="34"/>
      <c r="I29" s="5"/>
      <c r="J29" s="5"/>
      <c r="K29" s="5"/>
      <c r="L29" s="5"/>
      <c r="M29" s="5"/>
      <c r="N29" s="5"/>
      <c r="O29" s="5"/>
      <c r="P29" s="5"/>
    </row>
    <row r="30" spans="1:16" ht="42" customHeight="1" x14ac:dyDescent="0.2">
      <c r="B30" s="110" t="s">
        <v>625</v>
      </c>
      <c r="C30" s="110"/>
      <c r="D30" s="110"/>
      <c r="E30" s="110"/>
      <c r="F30" s="110"/>
      <c r="G30" s="31" t="s">
        <v>524</v>
      </c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">
      <c r="B31" s="3"/>
      <c r="C31" s="32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2">
      <c r="A32" s="119" t="s">
        <v>356</v>
      </c>
      <c r="B32" s="136"/>
      <c r="C32" s="125">
        <f>SUM(H9:H27)</f>
        <v>0</v>
      </c>
      <c r="D32" s="126"/>
      <c r="E32" s="127"/>
      <c r="F32" s="128" t="s">
        <v>334</v>
      </c>
      <c r="G32" s="129"/>
      <c r="H32" s="120"/>
      <c r="I32" s="130"/>
      <c r="J32" s="131"/>
      <c r="K32" s="132"/>
    </row>
    <row r="33" spans="1:12" x14ac:dyDescent="0.2">
      <c r="A33" s="119" t="s">
        <v>335</v>
      </c>
      <c r="B33" s="136"/>
      <c r="C33" s="121"/>
      <c r="D33" s="122"/>
      <c r="E33" s="122"/>
      <c r="F33" s="122"/>
      <c r="G33" s="122"/>
      <c r="H33" s="122"/>
      <c r="I33" s="122"/>
      <c r="J33" s="122"/>
      <c r="K33" s="123"/>
    </row>
    <row r="34" spans="1:12" x14ac:dyDescent="0.2">
      <c r="A34" s="7"/>
      <c r="B34" s="10"/>
    </row>
    <row r="35" spans="1:12" x14ac:dyDescent="0.2">
      <c r="A35" s="6"/>
      <c r="B35" s="10"/>
      <c r="C35" s="16"/>
      <c r="D35" s="10"/>
      <c r="E35" s="10"/>
      <c r="F35" s="10"/>
      <c r="G35" s="10"/>
      <c r="H35" s="10"/>
      <c r="I35" s="10"/>
      <c r="J35" s="10"/>
      <c r="K35" s="10"/>
    </row>
    <row r="36" spans="1:12" x14ac:dyDescent="0.2">
      <c r="A36" s="7"/>
      <c r="B36" s="7"/>
      <c r="C36" s="17"/>
    </row>
    <row r="37" spans="1:12" x14ac:dyDescent="0.2">
      <c r="K37" s="4"/>
      <c r="L37" s="4"/>
    </row>
    <row r="38" spans="1:12" x14ac:dyDescent="0.2">
      <c r="K38" s="4"/>
      <c r="L38" s="4"/>
    </row>
    <row r="39" spans="1:12" x14ac:dyDescent="0.2">
      <c r="I39" s="10"/>
      <c r="J39" s="10"/>
      <c r="K39" s="27"/>
      <c r="L39" s="15"/>
    </row>
    <row r="40" spans="1:12" x14ac:dyDescent="0.2">
      <c r="I40" s="15"/>
      <c r="J40" s="15"/>
      <c r="K40" s="15"/>
    </row>
  </sheetData>
  <mergeCells count="12">
    <mergeCell ref="B29:F29"/>
    <mergeCell ref="B30:F30"/>
    <mergeCell ref="A33:B33"/>
    <mergeCell ref="C33:K33"/>
    <mergeCell ref="A4:B4"/>
    <mergeCell ref="C4:K4"/>
    <mergeCell ref="B6:L6"/>
    <mergeCell ref="A32:B32"/>
    <mergeCell ref="C32:E32"/>
    <mergeCell ref="F32:H32"/>
    <mergeCell ref="I32:K32"/>
    <mergeCell ref="B28:F2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6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"/>
  <dimension ref="A2:P24"/>
  <sheetViews>
    <sheetView view="pageLayout" topLeftCell="A10" zoomScaleNormal="100" zoomScaleSheetLayoutView="100" workbookViewId="0">
      <selection activeCell="G15" sqref="C15:K18"/>
    </sheetView>
  </sheetViews>
  <sheetFormatPr defaultRowHeight="12.75" x14ac:dyDescent="0.2"/>
  <cols>
    <col min="1" max="1" width="4.28515625" customWidth="1"/>
    <col min="2" max="2" width="19.42578125" customWidth="1"/>
    <col min="3" max="3" width="8.85546875" customWidth="1"/>
    <col min="4" max="4" width="12.28515625" customWidth="1"/>
    <col min="5" max="5" width="12.42578125" customWidth="1"/>
    <col min="6" max="6" width="14.7109375" customWidth="1"/>
    <col min="7" max="7" width="12" customWidth="1"/>
    <col min="8" max="8" width="16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6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606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114" t="s">
        <v>333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48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607</v>
      </c>
      <c r="C9" s="31" t="s">
        <v>609</v>
      </c>
      <c r="D9" s="31">
        <v>2017</v>
      </c>
      <c r="E9" s="50">
        <v>44175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608</v>
      </c>
      <c r="C10" s="31" t="s">
        <v>610</v>
      </c>
      <c r="D10" s="31">
        <v>2017</v>
      </c>
      <c r="E10" s="50">
        <v>44175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608</v>
      </c>
      <c r="C11" s="31" t="s">
        <v>611</v>
      </c>
      <c r="D11" s="31">
        <v>2017</v>
      </c>
      <c r="E11" s="50">
        <v>44175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ht="144.75" customHeight="1" x14ac:dyDescent="0.2">
      <c r="A12" s="33"/>
      <c r="B12" s="110" t="s">
        <v>613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  <c r="L12" s="5"/>
      <c r="M12" s="5"/>
      <c r="N12" s="5"/>
      <c r="O12" s="5"/>
      <c r="P12" s="5"/>
    </row>
    <row r="13" spans="1:16" ht="57" customHeight="1" x14ac:dyDescent="0.2">
      <c r="A13" s="33"/>
      <c r="B13" s="110" t="s">
        <v>594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  <c r="M13" s="5"/>
      <c r="N13" s="5"/>
      <c r="O13" s="5"/>
      <c r="P13" s="5"/>
    </row>
    <row r="14" spans="1:16" ht="47.25" customHeight="1" x14ac:dyDescent="0.2">
      <c r="A14" s="33"/>
      <c r="B14" s="110" t="s">
        <v>612</v>
      </c>
      <c r="C14" s="110"/>
      <c r="D14" s="110"/>
      <c r="E14" s="110"/>
      <c r="F14" s="110"/>
      <c r="G14" s="31" t="s">
        <v>524</v>
      </c>
      <c r="H14" s="34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33"/>
      <c r="B15" s="33"/>
      <c r="C15" s="34"/>
      <c r="D15" s="34"/>
      <c r="E15" s="34"/>
      <c r="F15" s="34"/>
      <c r="G15" s="34"/>
      <c r="H15" s="34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119" t="s">
        <v>332</v>
      </c>
      <c r="B16" s="124"/>
      <c r="C16" s="125"/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2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  <row r="18" spans="1:12" x14ac:dyDescent="0.2">
      <c r="A18" s="7"/>
      <c r="B18" s="10"/>
    </row>
    <row r="19" spans="1:12" x14ac:dyDescent="0.2">
      <c r="A19" s="6"/>
      <c r="B19" s="10"/>
      <c r="C19" s="16"/>
      <c r="D19" s="10"/>
      <c r="E19" s="10"/>
      <c r="F19" s="10"/>
      <c r="G19" s="10"/>
      <c r="H19" s="10"/>
      <c r="I19" s="10"/>
      <c r="J19" s="10"/>
      <c r="K19" s="10"/>
    </row>
    <row r="20" spans="1:12" x14ac:dyDescent="0.2">
      <c r="A20" s="7"/>
      <c r="B20" s="7"/>
      <c r="C20" s="17"/>
    </row>
    <row r="21" spans="1:12" x14ac:dyDescent="0.2">
      <c r="K21" s="4"/>
      <c r="L21" s="4"/>
    </row>
    <row r="22" spans="1:12" x14ac:dyDescent="0.2">
      <c r="K22" s="4"/>
      <c r="L22" s="4"/>
    </row>
    <row r="23" spans="1:12" x14ac:dyDescent="0.2">
      <c r="I23" s="10"/>
      <c r="J23" s="10"/>
      <c r="K23" s="27"/>
      <c r="L23" s="15"/>
    </row>
    <row r="24" spans="1:12" x14ac:dyDescent="0.2">
      <c r="I24" s="15"/>
      <c r="J24" s="15"/>
      <c r="K24" s="15"/>
    </row>
  </sheetData>
  <mergeCells count="12">
    <mergeCell ref="A4:B4"/>
    <mergeCell ref="C4:K4"/>
    <mergeCell ref="A16:B16"/>
    <mergeCell ref="C16:E16"/>
    <mergeCell ref="F16:H16"/>
    <mergeCell ref="I16:K16"/>
    <mergeCell ref="B12:F12"/>
    <mergeCell ref="B13:F13"/>
    <mergeCell ref="B14:F14"/>
    <mergeCell ref="A17:B17"/>
    <mergeCell ref="C17:K17"/>
    <mergeCell ref="A6:K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1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8"/>
  <dimension ref="A2:P25"/>
  <sheetViews>
    <sheetView view="pageLayout" topLeftCell="A13" zoomScaleNormal="100" zoomScaleSheetLayoutView="100" workbookViewId="0">
      <selection activeCell="C4" sqref="C4:K4"/>
    </sheetView>
  </sheetViews>
  <sheetFormatPr defaultRowHeight="12.75" x14ac:dyDescent="0.2"/>
  <cols>
    <col min="1" max="1" width="4.5703125" customWidth="1"/>
    <col min="2" max="2" width="21.85546875" customWidth="1"/>
    <col min="3" max="3" width="12.5703125" customWidth="1"/>
    <col min="4" max="4" width="11.28515625" customWidth="1"/>
    <col min="5" max="5" width="14.42578125" customWidth="1"/>
    <col min="6" max="6" width="13.140625" customWidth="1"/>
    <col min="7" max="7" width="11.140625" customWidth="1"/>
    <col min="8" max="8" width="14.5703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7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605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48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27</v>
      </c>
      <c r="C9" s="31" t="s">
        <v>28</v>
      </c>
      <c r="D9" s="31">
        <v>2012</v>
      </c>
      <c r="E9" s="50">
        <v>44140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27</v>
      </c>
      <c r="C10" s="31" t="s">
        <v>599</v>
      </c>
      <c r="D10" s="31">
        <v>2012</v>
      </c>
      <c r="E10" s="50">
        <v>44077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27</v>
      </c>
      <c r="C11" s="31" t="s">
        <v>624</v>
      </c>
      <c r="D11" s="31">
        <v>2007</v>
      </c>
      <c r="E11" s="50">
        <v>44276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30">
        <v>4</v>
      </c>
      <c r="B12" s="30" t="s">
        <v>553</v>
      </c>
      <c r="C12" s="31" t="s">
        <v>554</v>
      </c>
      <c r="D12" s="31">
        <v>2010</v>
      </c>
      <c r="E12" s="50">
        <v>44077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ht="105" customHeight="1" x14ac:dyDescent="0.2">
      <c r="A13" s="33"/>
      <c r="B13" s="110" t="s">
        <v>565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  <c r="M13" s="5"/>
      <c r="N13" s="5"/>
      <c r="O13" s="5"/>
      <c r="P13" s="5"/>
    </row>
    <row r="14" spans="1:16" ht="56.25" customHeight="1" x14ac:dyDescent="0.2">
      <c r="A14" s="33"/>
      <c r="B14" s="110" t="s">
        <v>594</v>
      </c>
      <c r="C14" s="110"/>
      <c r="D14" s="110"/>
      <c r="E14" s="110"/>
      <c r="F14" s="110"/>
      <c r="G14" s="31" t="s">
        <v>524</v>
      </c>
      <c r="H14" s="34"/>
      <c r="I14" s="5"/>
      <c r="J14" s="5"/>
      <c r="K14" s="5"/>
      <c r="L14" s="5"/>
      <c r="M14" s="5"/>
      <c r="N14" s="5"/>
      <c r="O14" s="5"/>
      <c r="P14" s="5"/>
    </row>
    <row r="15" spans="1:16" ht="52.5" customHeight="1" x14ac:dyDescent="0.2">
      <c r="A15" s="33"/>
      <c r="B15" s="110" t="s">
        <v>627</v>
      </c>
      <c r="C15" s="110"/>
      <c r="D15" s="110"/>
      <c r="E15" s="110"/>
      <c r="F15" s="110"/>
      <c r="G15" s="31" t="s">
        <v>524</v>
      </c>
      <c r="H15" s="34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33"/>
      <c r="B16" s="33"/>
      <c r="C16" s="34"/>
      <c r="D16" s="34"/>
      <c r="E16" s="34"/>
      <c r="F16" s="34"/>
      <c r="G16" s="34"/>
      <c r="H16" s="34"/>
      <c r="I16" s="5"/>
      <c r="J16" s="5"/>
      <c r="K16" s="5"/>
      <c r="L16" s="5"/>
      <c r="M16" s="5"/>
      <c r="N16" s="5"/>
      <c r="O16" s="5"/>
      <c r="P16" s="5"/>
    </row>
    <row r="17" spans="1:12" x14ac:dyDescent="0.2">
      <c r="A17" s="119" t="s">
        <v>332</v>
      </c>
      <c r="B17" s="124"/>
      <c r="C17" s="125">
        <f>SUM(H9:H12)</f>
        <v>0</v>
      </c>
      <c r="D17" s="126"/>
      <c r="E17" s="127"/>
      <c r="F17" s="128" t="s">
        <v>334</v>
      </c>
      <c r="G17" s="129"/>
      <c r="H17" s="120"/>
      <c r="I17" s="130"/>
      <c r="J17" s="131"/>
      <c r="K17" s="132"/>
    </row>
    <row r="18" spans="1:12" x14ac:dyDescent="0.2">
      <c r="A18" s="119" t="s">
        <v>335</v>
      </c>
      <c r="B18" s="120"/>
      <c r="C18" s="121"/>
      <c r="D18" s="122"/>
      <c r="E18" s="122"/>
      <c r="F18" s="122"/>
      <c r="G18" s="122"/>
      <c r="H18" s="122"/>
      <c r="I18" s="122"/>
      <c r="J18" s="122"/>
      <c r="K18" s="123"/>
    </row>
    <row r="19" spans="1:12" x14ac:dyDescent="0.2">
      <c r="A19" s="7"/>
      <c r="B19" s="10"/>
    </row>
    <row r="20" spans="1:12" x14ac:dyDescent="0.2">
      <c r="A20" s="6"/>
      <c r="B20" s="10"/>
      <c r="C20" s="16"/>
      <c r="D20" s="10"/>
      <c r="E20" s="10"/>
      <c r="F20" s="10"/>
      <c r="G20" s="10"/>
      <c r="H20" s="10"/>
      <c r="I20" s="10"/>
      <c r="J20" s="10"/>
      <c r="K20" s="10"/>
    </row>
    <row r="21" spans="1:12" x14ac:dyDescent="0.2">
      <c r="A21" s="7"/>
      <c r="B21" s="7"/>
      <c r="C21" s="17"/>
    </row>
    <row r="22" spans="1:12" x14ac:dyDescent="0.2">
      <c r="K22" s="4"/>
      <c r="L22" s="4"/>
    </row>
    <row r="23" spans="1:12" x14ac:dyDescent="0.2">
      <c r="K23" s="4"/>
      <c r="L23" s="4"/>
    </row>
    <row r="24" spans="1:12" x14ac:dyDescent="0.2">
      <c r="I24" s="10"/>
      <c r="J24" s="10"/>
      <c r="K24" s="27"/>
      <c r="L24" s="15"/>
    </row>
    <row r="25" spans="1:12" x14ac:dyDescent="0.2">
      <c r="I25" s="15"/>
      <c r="J25" s="15"/>
      <c r="K25" s="15"/>
    </row>
  </sheetData>
  <mergeCells count="12">
    <mergeCell ref="A18:B18"/>
    <mergeCell ref="C18:K18"/>
    <mergeCell ref="A4:B4"/>
    <mergeCell ref="C4:K4"/>
    <mergeCell ref="A17:B17"/>
    <mergeCell ref="C17:E17"/>
    <mergeCell ref="F17:H17"/>
    <mergeCell ref="I17:K17"/>
    <mergeCell ref="B13:F13"/>
    <mergeCell ref="B6:K6"/>
    <mergeCell ref="B14:F14"/>
    <mergeCell ref="B15:F1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9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9"/>
  <dimension ref="A2:P24"/>
  <sheetViews>
    <sheetView view="pageLayout" topLeftCell="A17" zoomScaleNormal="100" zoomScaleSheetLayoutView="100" workbookViewId="0">
      <selection activeCell="D23" sqref="D23:E23"/>
    </sheetView>
  </sheetViews>
  <sheetFormatPr defaultRowHeight="12.75" x14ac:dyDescent="0.2"/>
  <cols>
    <col min="1" max="1" width="3.5703125" customWidth="1"/>
    <col min="2" max="2" width="25.5703125" customWidth="1"/>
    <col min="3" max="3" width="14.5703125" customWidth="1"/>
    <col min="4" max="4" width="12.5703125" customWidth="1"/>
    <col min="5" max="5" width="18.140625" customWidth="1"/>
    <col min="6" max="6" width="11.5703125" customWidth="1"/>
    <col min="7" max="7" width="11.285156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8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48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48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ht="25.5" x14ac:dyDescent="0.2">
      <c r="A9" s="30">
        <v>1</v>
      </c>
      <c r="B9" s="36" t="s">
        <v>566</v>
      </c>
      <c r="C9" s="31" t="s">
        <v>29</v>
      </c>
      <c r="D9" s="31">
        <v>2012</v>
      </c>
      <c r="E9" s="31" t="s">
        <v>187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ht="25.5" x14ac:dyDescent="0.2">
      <c r="A10" s="30">
        <v>2</v>
      </c>
      <c r="B10" s="36" t="s">
        <v>566</v>
      </c>
      <c r="C10" s="31" t="s">
        <v>567</v>
      </c>
      <c r="D10" s="31">
        <v>2009</v>
      </c>
      <c r="E10" s="31" t="s">
        <v>187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ht="25.5" x14ac:dyDescent="0.2">
      <c r="A11" s="30">
        <v>3</v>
      </c>
      <c r="B11" s="55" t="s">
        <v>208</v>
      </c>
      <c r="C11" s="31" t="s">
        <v>209</v>
      </c>
      <c r="D11" s="31">
        <v>2014</v>
      </c>
      <c r="E11" s="31" t="s">
        <v>187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ht="187.5" customHeight="1" x14ac:dyDescent="0.2">
      <c r="A12" s="33"/>
      <c r="B12" s="138" t="s">
        <v>0</v>
      </c>
      <c r="C12" s="138"/>
      <c r="D12" s="138"/>
      <c r="E12" s="138"/>
      <c r="F12" s="138"/>
      <c r="G12" s="37" t="s">
        <v>524</v>
      </c>
      <c r="H12" s="34"/>
      <c r="I12" s="5"/>
      <c r="J12" s="5"/>
      <c r="K12" s="5"/>
      <c r="L12" s="5"/>
      <c r="M12" s="5"/>
      <c r="N12" s="5"/>
      <c r="O12" s="5"/>
      <c r="P12" s="5"/>
    </row>
    <row r="13" spans="1:16" ht="54" customHeight="1" x14ac:dyDescent="0.2">
      <c r="A13" s="33"/>
      <c r="B13" s="110" t="s">
        <v>594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  <c r="M13" s="5"/>
      <c r="N13" s="5"/>
      <c r="O13" s="5"/>
      <c r="P13" s="5"/>
    </row>
    <row r="14" spans="1:16" ht="42" customHeight="1" x14ac:dyDescent="0.2">
      <c r="B14" s="110" t="s">
        <v>628</v>
      </c>
      <c r="C14" s="110"/>
      <c r="D14" s="110"/>
      <c r="E14" s="110"/>
      <c r="F14" s="110"/>
      <c r="G14" s="31" t="s">
        <v>524</v>
      </c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119" t="s">
        <v>356</v>
      </c>
      <c r="B16" s="124"/>
      <c r="C16" s="125"/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2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  <row r="18" spans="1:12" x14ac:dyDescent="0.2">
      <c r="A18" s="7"/>
      <c r="B18" s="10"/>
    </row>
    <row r="19" spans="1:12" x14ac:dyDescent="0.2">
      <c r="A19" s="6"/>
      <c r="B19" s="10"/>
      <c r="C19" s="16"/>
      <c r="D19" s="10"/>
      <c r="E19" s="10"/>
      <c r="F19" s="10"/>
      <c r="G19" s="10"/>
      <c r="H19" s="10"/>
      <c r="I19" s="10"/>
      <c r="J19" s="10"/>
      <c r="K19" s="10"/>
    </row>
    <row r="20" spans="1:12" x14ac:dyDescent="0.2">
      <c r="A20" s="7"/>
      <c r="B20" s="7"/>
      <c r="C20" s="17"/>
    </row>
    <row r="21" spans="1:12" x14ac:dyDescent="0.2">
      <c r="K21" s="4"/>
      <c r="L21" s="4"/>
    </row>
    <row r="22" spans="1:12" x14ac:dyDescent="0.2">
      <c r="K22" s="4"/>
      <c r="L22" s="4"/>
    </row>
    <row r="23" spans="1:12" x14ac:dyDescent="0.2">
      <c r="I23" s="10"/>
      <c r="J23" s="10"/>
      <c r="K23" s="27"/>
      <c r="L23" s="15"/>
    </row>
    <row r="24" spans="1:12" x14ac:dyDescent="0.2">
      <c r="I24" s="15"/>
      <c r="J24" s="15"/>
      <c r="K24" s="15"/>
    </row>
  </sheetData>
  <mergeCells count="12">
    <mergeCell ref="B13:F13"/>
    <mergeCell ref="B14:F14"/>
    <mergeCell ref="A17:B17"/>
    <mergeCell ref="C17:K17"/>
    <mergeCell ref="A4:B4"/>
    <mergeCell ref="C4:K4"/>
    <mergeCell ref="A16:B16"/>
    <mergeCell ref="C16:E16"/>
    <mergeCell ref="F16:H16"/>
    <mergeCell ref="I16:K16"/>
    <mergeCell ref="B12:F12"/>
    <mergeCell ref="B6:K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3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0"/>
  <dimension ref="A2:P24"/>
  <sheetViews>
    <sheetView view="pageLayout" topLeftCell="A13" zoomScaleNormal="100" zoomScaleSheetLayoutView="100" workbookViewId="0">
      <selection activeCell="F24" sqref="F24"/>
    </sheetView>
  </sheetViews>
  <sheetFormatPr defaultRowHeight="12.75" x14ac:dyDescent="0.2"/>
  <cols>
    <col min="1" max="1" width="3.7109375" customWidth="1"/>
    <col min="2" max="2" width="20.85546875" customWidth="1"/>
    <col min="3" max="3" width="10.85546875" customWidth="1"/>
    <col min="4" max="4" width="11.42578125" customWidth="1"/>
    <col min="5" max="5" width="12.28515625" customWidth="1"/>
    <col min="6" max="6" width="10.42578125" customWidth="1"/>
    <col min="7" max="7" width="13.140625" customWidth="1"/>
    <col min="8" max="8" width="14.28515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9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49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568</v>
      </c>
      <c r="C9" s="31">
        <v>511163</v>
      </c>
      <c r="D9" s="31">
        <v>2006</v>
      </c>
      <c r="E9" s="50">
        <v>44043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568</v>
      </c>
      <c r="C10" s="31">
        <v>511165</v>
      </c>
      <c r="D10" s="31">
        <v>2006</v>
      </c>
      <c r="E10" s="50">
        <v>44043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ht="94.5" customHeight="1" x14ac:dyDescent="0.2">
      <c r="A11" s="33"/>
      <c r="B11" s="110" t="s">
        <v>523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  <c r="L11" s="5"/>
      <c r="M11" s="5"/>
      <c r="N11" s="5"/>
      <c r="O11" s="5"/>
      <c r="P11" s="5"/>
    </row>
    <row r="12" spans="1:16" ht="68.25" customHeight="1" x14ac:dyDescent="0.2">
      <c r="A12" s="33"/>
      <c r="B12" s="110" t="s">
        <v>594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  <c r="L12" s="5"/>
      <c r="M12" s="5"/>
      <c r="N12" s="5"/>
      <c r="O12" s="5"/>
      <c r="P12" s="5"/>
    </row>
    <row r="13" spans="1:16" ht="46.5" customHeight="1" x14ac:dyDescent="0.2">
      <c r="A13" s="33"/>
      <c r="B13" s="110" t="s">
        <v>628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  <c r="M13" s="5"/>
      <c r="N13" s="5"/>
      <c r="O13" s="5"/>
      <c r="P13" s="5"/>
    </row>
    <row r="14" spans="1:16" x14ac:dyDescent="0.2">
      <c r="B14" s="3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119" t="s">
        <v>356</v>
      </c>
      <c r="B16" s="124"/>
      <c r="C16" s="125">
        <f>SUM(H9:H10)</f>
        <v>0</v>
      </c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2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  <row r="18" spans="1:12" x14ac:dyDescent="0.2">
      <c r="A18" s="7"/>
      <c r="B18" s="10"/>
    </row>
    <row r="19" spans="1:12" x14ac:dyDescent="0.2">
      <c r="A19" s="6"/>
      <c r="B19" s="10"/>
      <c r="C19" s="16"/>
      <c r="D19" s="10"/>
      <c r="E19" s="10"/>
      <c r="F19" s="10"/>
      <c r="G19" s="10"/>
      <c r="H19" s="10"/>
      <c r="I19" s="10"/>
      <c r="J19" s="10"/>
      <c r="K19" s="10"/>
    </row>
    <row r="20" spans="1:12" x14ac:dyDescent="0.2">
      <c r="A20" s="7"/>
      <c r="B20" s="7"/>
      <c r="C20" s="17"/>
    </row>
    <row r="21" spans="1:12" x14ac:dyDescent="0.2">
      <c r="K21" s="4"/>
      <c r="L21" s="4"/>
    </row>
    <row r="22" spans="1:12" x14ac:dyDescent="0.2">
      <c r="K22" s="4"/>
      <c r="L22" s="4"/>
    </row>
    <row r="23" spans="1:12" x14ac:dyDescent="0.2">
      <c r="I23" s="10"/>
      <c r="J23" s="10"/>
      <c r="K23" s="27"/>
      <c r="L23" s="15"/>
    </row>
    <row r="24" spans="1:12" x14ac:dyDescent="0.2">
      <c r="I24" s="15"/>
      <c r="J24" s="15"/>
      <c r="K24" s="15"/>
    </row>
  </sheetData>
  <mergeCells count="12">
    <mergeCell ref="B12:F12"/>
    <mergeCell ref="B13:F13"/>
    <mergeCell ref="A17:B17"/>
    <mergeCell ref="C17:K17"/>
    <mergeCell ref="A4:B4"/>
    <mergeCell ref="C4:K4"/>
    <mergeCell ref="B6:L6"/>
    <mergeCell ref="A16:B16"/>
    <mergeCell ref="C16:E16"/>
    <mergeCell ref="F16:H16"/>
    <mergeCell ref="I16:K16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3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1"/>
  <dimension ref="A2:P23"/>
  <sheetViews>
    <sheetView view="pageLayout" topLeftCell="A13" zoomScaleNormal="100" zoomScaleSheetLayoutView="100" workbookViewId="0">
      <selection activeCell="H9" sqref="H9:H10"/>
    </sheetView>
  </sheetViews>
  <sheetFormatPr defaultRowHeight="12.75" x14ac:dyDescent="0.2"/>
  <cols>
    <col min="1" max="1" width="5.7109375" customWidth="1"/>
    <col min="2" max="2" width="24.140625" customWidth="1"/>
    <col min="3" max="3" width="11.85546875" customWidth="1"/>
    <col min="4" max="4" width="12" customWidth="1"/>
    <col min="5" max="5" width="13.285156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10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50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569</v>
      </c>
      <c r="C9" s="31">
        <v>12581</v>
      </c>
      <c r="D9" s="31">
        <v>2007</v>
      </c>
      <c r="E9" s="50">
        <v>44226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570</v>
      </c>
      <c r="C10" s="31">
        <v>30828</v>
      </c>
      <c r="D10" s="31">
        <v>2009</v>
      </c>
      <c r="E10" s="50">
        <v>44209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ht="52.5" customHeight="1" x14ac:dyDescent="0.2">
      <c r="A11" s="33"/>
      <c r="B11" s="110" t="s">
        <v>207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  <c r="L11" s="5"/>
      <c r="M11" s="5"/>
      <c r="N11" s="5"/>
      <c r="O11" s="5"/>
      <c r="P11" s="5"/>
    </row>
    <row r="12" spans="1:16" ht="79.5" customHeight="1" x14ac:dyDescent="0.2">
      <c r="A12" s="33"/>
      <c r="B12" s="110" t="s">
        <v>267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  <c r="L12" s="5"/>
      <c r="M12" s="5"/>
      <c r="N12" s="5"/>
      <c r="O12" s="5"/>
      <c r="P12" s="5"/>
    </row>
    <row r="13" spans="1:16" ht="39.75" customHeight="1" x14ac:dyDescent="0.2">
      <c r="B13" s="110" t="s">
        <v>628</v>
      </c>
      <c r="C13" s="110"/>
      <c r="D13" s="110"/>
      <c r="E13" s="110"/>
      <c r="F13" s="110"/>
      <c r="G13" s="31" t="s">
        <v>524</v>
      </c>
      <c r="H13" s="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6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  <row r="17" spans="1:12" x14ac:dyDescent="0.2">
      <c r="A17" s="7"/>
      <c r="B17" s="10"/>
    </row>
    <row r="18" spans="1:12" x14ac:dyDescent="0.2">
      <c r="A18" s="6"/>
      <c r="B18" s="10"/>
      <c r="C18" s="16"/>
      <c r="D18" s="10"/>
      <c r="E18" s="10"/>
      <c r="F18" s="10"/>
      <c r="G18" s="10"/>
      <c r="H18" s="10"/>
      <c r="I18" s="10"/>
      <c r="J18" s="10"/>
      <c r="K18" s="10"/>
    </row>
    <row r="19" spans="1:12" x14ac:dyDescent="0.2">
      <c r="A19" s="7"/>
      <c r="B19" s="7"/>
      <c r="C19" s="17"/>
    </row>
    <row r="20" spans="1:12" x14ac:dyDescent="0.2">
      <c r="K20" s="4"/>
      <c r="L20" s="4"/>
    </row>
    <row r="21" spans="1:12" x14ac:dyDescent="0.2">
      <c r="K21" s="4"/>
      <c r="L21" s="4"/>
    </row>
    <row r="22" spans="1:12" x14ac:dyDescent="0.2">
      <c r="I22" s="10"/>
      <c r="J22" s="10"/>
      <c r="K22" s="27"/>
      <c r="L22" s="15"/>
    </row>
    <row r="23" spans="1:12" x14ac:dyDescent="0.2">
      <c r="I23" s="15"/>
      <c r="J23" s="15"/>
      <c r="K23" s="15"/>
    </row>
  </sheetData>
  <mergeCells count="12">
    <mergeCell ref="B12:F12"/>
    <mergeCell ref="B13:F13"/>
    <mergeCell ref="A16:B16"/>
    <mergeCell ref="C16:K16"/>
    <mergeCell ref="A4:B4"/>
    <mergeCell ref="C4:K4"/>
    <mergeCell ref="B6:L6"/>
    <mergeCell ref="A15:B15"/>
    <mergeCell ref="C15:E15"/>
    <mergeCell ref="F15:H15"/>
    <mergeCell ref="I15:K15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8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2"/>
  <dimension ref="A2:P26"/>
  <sheetViews>
    <sheetView view="pageLayout" topLeftCell="A13" zoomScaleNormal="100" zoomScaleSheetLayoutView="100" workbookViewId="0">
      <selection activeCell="H9" sqref="H9:H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6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11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51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571</v>
      </c>
      <c r="C9" s="31" t="s">
        <v>572</v>
      </c>
      <c r="D9" s="31">
        <v>2001</v>
      </c>
      <c r="E9" s="50">
        <v>44128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573</v>
      </c>
      <c r="C10" s="31" t="s">
        <v>574</v>
      </c>
      <c r="D10" s="31">
        <v>2007</v>
      </c>
      <c r="E10" s="50">
        <v>44128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319</v>
      </c>
      <c r="C11" s="31" t="s">
        <v>254</v>
      </c>
      <c r="D11" s="31">
        <v>2011</v>
      </c>
      <c r="E11" s="50">
        <v>44346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30">
        <v>4</v>
      </c>
      <c r="B12" s="30" t="s">
        <v>319</v>
      </c>
      <c r="C12" s="43" t="s">
        <v>639</v>
      </c>
      <c r="D12" s="43">
        <v>2014</v>
      </c>
      <c r="E12" s="50">
        <v>44128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ht="38.25" x14ac:dyDescent="0.2">
      <c r="A13" s="30">
        <v>5</v>
      </c>
      <c r="B13" s="30" t="s">
        <v>640</v>
      </c>
      <c r="C13" s="31" t="s">
        <v>641</v>
      </c>
      <c r="D13" s="31">
        <v>2014</v>
      </c>
      <c r="E13" s="31" t="s">
        <v>188</v>
      </c>
      <c r="F13" s="31"/>
      <c r="G13" s="31"/>
      <c r="H13" s="31"/>
      <c r="I13" s="5"/>
      <c r="J13" s="5"/>
      <c r="K13" s="5"/>
      <c r="L13" s="5"/>
      <c r="M13" s="5"/>
      <c r="N13" s="5"/>
      <c r="O13" s="5"/>
      <c r="P13" s="5"/>
    </row>
    <row r="14" spans="1:16" ht="54.75" customHeight="1" x14ac:dyDescent="0.2">
      <c r="A14" s="33"/>
      <c r="B14" s="138" t="s">
        <v>207</v>
      </c>
      <c r="C14" s="138"/>
      <c r="D14" s="138"/>
      <c r="E14" s="138"/>
      <c r="F14" s="138"/>
      <c r="G14" s="37" t="s">
        <v>524</v>
      </c>
      <c r="H14" s="34"/>
      <c r="I14" s="5"/>
      <c r="J14" s="5"/>
      <c r="K14" s="5"/>
      <c r="L14" s="5"/>
      <c r="M14" s="5"/>
      <c r="N14" s="5"/>
      <c r="O14" s="5"/>
      <c r="P14" s="5"/>
    </row>
    <row r="15" spans="1:16" ht="81" customHeight="1" x14ac:dyDescent="0.2">
      <c r="A15" s="33"/>
      <c r="B15" s="110" t="s">
        <v>267</v>
      </c>
      <c r="C15" s="110"/>
      <c r="D15" s="110"/>
      <c r="E15" s="110"/>
      <c r="F15" s="110"/>
      <c r="G15" s="31" t="s">
        <v>524</v>
      </c>
      <c r="H15" s="34"/>
      <c r="I15" s="5"/>
      <c r="J15" s="5"/>
      <c r="K15" s="5"/>
      <c r="L15" s="5"/>
      <c r="M15" s="5"/>
      <c r="N15" s="5"/>
      <c r="O15" s="5"/>
      <c r="P15" s="5"/>
    </row>
    <row r="16" spans="1:16" ht="43.5" customHeight="1" x14ac:dyDescent="0.2">
      <c r="B16" s="110" t="s">
        <v>628</v>
      </c>
      <c r="C16" s="110"/>
      <c r="D16" s="110"/>
      <c r="E16" s="110"/>
      <c r="F16" s="110"/>
      <c r="G16" s="31" t="s">
        <v>524</v>
      </c>
      <c r="H16" s="5"/>
      <c r="I16" s="5"/>
      <c r="J16" s="5"/>
      <c r="K16" s="5"/>
      <c r="L16" s="5"/>
      <c r="M16" s="5"/>
      <c r="N16" s="5"/>
      <c r="O16" s="5"/>
      <c r="P16" s="5"/>
    </row>
    <row r="17" spans="1:16" x14ac:dyDescent="0.2">
      <c r="B17" s="3"/>
      <c r="C17" s="32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119" t="s">
        <v>356</v>
      </c>
      <c r="B18" s="124"/>
      <c r="C18" s="125">
        <f>SUM(H9:H13)</f>
        <v>0</v>
      </c>
      <c r="D18" s="126"/>
      <c r="E18" s="127"/>
      <c r="F18" s="128" t="s">
        <v>334</v>
      </c>
      <c r="G18" s="129"/>
      <c r="H18" s="120"/>
      <c r="I18" s="130"/>
      <c r="J18" s="131"/>
      <c r="K18" s="132"/>
    </row>
    <row r="19" spans="1:16" x14ac:dyDescent="0.2">
      <c r="A19" s="119" t="s">
        <v>335</v>
      </c>
      <c r="B19" s="120"/>
      <c r="C19" s="121"/>
      <c r="D19" s="122"/>
      <c r="E19" s="122"/>
      <c r="F19" s="122"/>
      <c r="G19" s="122"/>
      <c r="H19" s="122"/>
      <c r="I19" s="122"/>
      <c r="J19" s="122"/>
      <c r="K19" s="123"/>
    </row>
    <row r="20" spans="1:16" x14ac:dyDescent="0.2">
      <c r="A20" s="7"/>
      <c r="B20" s="10"/>
    </row>
    <row r="21" spans="1:16" x14ac:dyDescent="0.2">
      <c r="A21" s="6"/>
      <c r="B21" s="10"/>
      <c r="C21" s="16"/>
      <c r="D21" s="10"/>
      <c r="E21" s="10"/>
      <c r="F21" s="10"/>
      <c r="G21" s="10"/>
      <c r="H21" s="10"/>
      <c r="I21" s="10"/>
      <c r="J21" s="10"/>
      <c r="K21" s="10"/>
    </row>
    <row r="22" spans="1:16" x14ac:dyDescent="0.2">
      <c r="A22" s="7"/>
      <c r="B22" s="7"/>
      <c r="C22" s="17"/>
    </row>
    <row r="23" spans="1:16" x14ac:dyDescent="0.2">
      <c r="K23" s="4"/>
      <c r="L23" s="4"/>
    </row>
    <row r="24" spans="1:16" x14ac:dyDescent="0.2">
      <c r="K24" s="4"/>
      <c r="L24" s="4"/>
    </row>
    <row r="25" spans="1:16" x14ac:dyDescent="0.2">
      <c r="I25" s="10"/>
      <c r="J25" s="10"/>
      <c r="K25" s="27"/>
      <c r="L25" s="15"/>
    </row>
    <row r="26" spans="1:16" x14ac:dyDescent="0.2">
      <c r="I26" s="15"/>
      <c r="J26" s="15"/>
      <c r="K26" s="15"/>
    </row>
  </sheetData>
  <mergeCells count="12">
    <mergeCell ref="B15:F15"/>
    <mergeCell ref="B16:F16"/>
    <mergeCell ref="A19:B19"/>
    <mergeCell ref="C19:K19"/>
    <mergeCell ref="A4:B4"/>
    <mergeCell ref="C4:K4"/>
    <mergeCell ref="B6:L6"/>
    <mergeCell ref="A18:B18"/>
    <mergeCell ref="C18:E18"/>
    <mergeCell ref="F18:H18"/>
    <mergeCell ref="I18:K18"/>
    <mergeCell ref="B14:F1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7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3"/>
  <dimension ref="A2:L17"/>
  <sheetViews>
    <sheetView view="pageLayout" topLeftCell="A13" zoomScaleNormal="100" zoomScaleSheetLayoutView="100" workbookViewId="0">
      <selection activeCell="H9" sqref="H9:H11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12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262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648</v>
      </c>
      <c r="C9" s="31">
        <v>11317371</v>
      </c>
      <c r="D9" s="31">
        <v>2010</v>
      </c>
      <c r="E9" s="50">
        <v>44108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">
        <v>648</v>
      </c>
      <c r="C10" s="38" t="s">
        <v>560</v>
      </c>
      <c r="D10" s="38" t="s">
        <v>558</v>
      </c>
      <c r="E10" s="50">
        <v>44108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30" t="s">
        <v>559</v>
      </c>
      <c r="C11" s="47" t="s">
        <v>561</v>
      </c>
      <c r="D11" s="47" t="s">
        <v>558</v>
      </c>
      <c r="E11" s="50">
        <v>44108</v>
      </c>
      <c r="F11" s="31"/>
      <c r="G11" s="31"/>
      <c r="H11" s="31"/>
      <c r="I11" s="5"/>
      <c r="J11" s="5"/>
      <c r="K11" s="5"/>
      <c r="L11" s="5"/>
    </row>
    <row r="12" spans="1:12" ht="57" customHeight="1" x14ac:dyDescent="0.2">
      <c r="A12" s="33"/>
      <c r="B12" s="138" t="s">
        <v>206</v>
      </c>
      <c r="C12" s="138"/>
      <c r="D12" s="138"/>
      <c r="E12" s="138"/>
      <c r="F12" s="138"/>
      <c r="G12" s="37" t="s">
        <v>524</v>
      </c>
      <c r="H12" s="34"/>
      <c r="I12" s="5"/>
      <c r="J12" s="5"/>
      <c r="K12" s="5"/>
      <c r="L12" s="5"/>
    </row>
    <row r="13" spans="1:12" ht="67.5" customHeight="1" x14ac:dyDescent="0.2">
      <c r="A13" s="33"/>
      <c r="B13" s="110" t="s">
        <v>269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</row>
    <row r="14" spans="1:12" ht="42" customHeight="1" x14ac:dyDescent="0.2">
      <c r="B14" s="110" t="s">
        <v>628</v>
      </c>
      <c r="C14" s="110"/>
      <c r="D14" s="110"/>
      <c r="E14" s="110"/>
      <c r="F14" s="110"/>
      <c r="G14" s="31" t="s">
        <v>524</v>
      </c>
      <c r="H14" s="5"/>
      <c r="I14" s="5"/>
      <c r="J14" s="5"/>
      <c r="K14" s="5"/>
      <c r="L14" s="5"/>
    </row>
    <row r="15" spans="1:12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">
      <c r="A16" s="119" t="s">
        <v>356</v>
      </c>
      <c r="B16" s="124"/>
      <c r="C16" s="125">
        <f>SUM(H9:H11)</f>
        <v>0</v>
      </c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1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</sheetData>
  <mergeCells count="12">
    <mergeCell ref="A4:B4"/>
    <mergeCell ref="C4:K4"/>
    <mergeCell ref="B6:L6"/>
    <mergeCell ref="B12:F12"/>
    <mergeCell ref="A17:B17"/>
    <mergeCell ref="C17:K17"/>
    <mergeCell ref="B13:F13"/>
    <mergeCell ref="B14:F14"/>
    <mergeCell ref="A16:B16"/>
    <mergeCell ref="C16:E16"/>
    <mergeCell ref="F16:H16"/>
    <mergeCell ref="I16:K16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4"/>
  <dimension ref="A2:P33"/>
  <sheetViews>
    <sheetView view="pageLayout" topLeftCell="A16" zoomScaleNormal="100" zoomScaleSheetLayoutView="100" workbookViewId="0">
      <selection activeCell="H9" sqref="H9:H20"/>
    </sheetView>
  </sheetViews>
  <sheetFormatPr defaultRowHeight="12.75" x14ac:dyDescent="0.2"/>
  <cols>
    <col min="1" max="1" width="4.7109375" customWidth="1"/>
    <col min="2" max="2" width="23.140625" customWidth="1"/>
    <col min="3" max="3" width="15" customWidth="1"/>
    <col min="4" max="4" width="14.5703125" customWidth="1"/>
    <col min="5" max="5" width="14.140625" customWidth="1"/>
    <col min="6" max="6" width="14.7109375" customWidth="1"/>
    <col min="7" max="7" width="12" customWidth="1"/>
    <col min="8" max="8" width="18.28515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13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52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588</v>
      </c>
      <c r="C9" s="31" t="s">
        <v>589</v>
      </c>
      <c r="D9" s="31">
        <v>2008</v>
      </c>
      <c r="E9" s="50">
        <v>44049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588</v>
      </c>
      <c r="C10" s="31" t="s">
        <v>590</v>
      </c>
      <c r="D10" s="31">
        <v>2008</v>
      </c>
      <c r="E10" s="50">
        <v>44049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591</v>
      </c>
      <c r="C11" s="31" t="s">
        <v>592</v>
      </c>
      <c r="D11" s="31">
        <v>2007</v>
      </c>
      <c r="E11" s="50">
        <v>44049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30">
        <v>4</v>
      </c>
      <c r="B12" s="30" t="s">
        <v>577</v>
      </c>
      <c r="C12" s="31">
        <v>1852268</v>
      </c>
      <c r="D12" s="31">
        <v>2004</v>
      </c>
      <c r="E12" s="50">
        <v>44079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30">
        <v>5</v>
      </c>
      <c r="B13" s="30" t="s">
        <v>578</v>
      </c>
      <c r="C13" s="31">
        <v>1851759</v>
      </c>
      <c r="D13" s="31">
        <v>2005</v>
      </c>
      <c r="E13" s="50">
        <v>44079</v>
      </c>
      <c r="F13" s="31"/>
      <c r="G13" s="31"/>
      <c r="H13" s="31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30">
        <v>6</v>
      </c>
      <c r="B14" s="30" t="s">
        <v>133</v>
      </c>
      <c r="C14" s="31" t="s">
        <v>134</v>
      </c>
      <c r="D14" s="31">
        <v>2011</v>
      </c>
      <c r="E14" s="50">
        <v>44079</v>
      </c>
      <c r="F14" s="31"/>
      <c r="G14" s="31"/>
      <c r="H14" s="31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30">
        <v>7</v>
      </c>
      <c r="B15" s="30" t="s">
        <v>446</v>
      </c>
      <c r="C15" s="31" t="s">
        <v>514</v>
      </c>
      <c r="D15" s="31">
        <v>2013</v>
      </c>
      <c r="E15" s="50">
        <v>43978</v>
      </c>
      <c r="F15" s="31"/>
      <c r="G15" s="31"/>
      <c r="H15" s="31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30">
        <v>8</v>
      </c>
      <c r="B16" s="30" t="s">
        <v>562</v>
      </c>
      <c r="C16" s="31">
        <v>5005181</v>
      </c>
      <c r="D16" s="31">
        <v>2014</v>
      </c>
      <c r="E16" s="50">
        <v>44168</v>
      </c>
      <c r="F16" s="31"/>
      <c r="G16" s="31"/>
      <c r="H16" s="31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30">
        <v>9</v>
      </c>
      <c r="B17" s="30" t="s">
        <v>562</v>
      </c>
      <c r="C17" s="31">
        <v>5005189</v>
      </c>
      <c r="D17" s="31">
        <v>2014</v>
      </c>
      <c r="E17" s="50">
        <v>44168</v>
      </c>
      <c r="F17" s="31"/>
      <c r="G17" s="31"/>
      <c r="H17" s="31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30">
        <v>10</v>
      </c>
      <c r="B18" s="30" t="str">
        <f>"Arietta V70"</f>
        <v>Arietta V70</v>
      </c>
      <c r="C18" s="31" t="str">
        <f>"205T4957"</f>
        <v>205T4957</v>
      </c>
      <c r="D18" s="31">
        <v>2017</v>
      </c>
      <c r="E18" s="50">
        <v>44171</v>
      </c>
      <c r="F18" s="31"/>
      <c r="G18" s="31"/>
      <c r="H18" s="31"/>
      <c r="I18" s="5"/>
      <c r="J18" s="5"/>
      <c r="K18" s="5"/>
      <c r="L18" s="5"/>
      <c r="M18" s="5"/>
      <c r="N18" s="5"/>
      <c r="O18" s="5"/>
      <c r="P18" s="5"/>
    </row>
    <row r="19" spans="1:16" x14ac:dyDescent="0.2">
      <c r="A19" s="30">
        <v>11</v>
      </c>
      <c r="B19" s="30" t="str">
        <f>"Arietta V70a"</f>
        <v>Arietta V70a</v>
      </c>
      <c r="C19" s="31" t="str">
        <f>"205Q9960"</f>
        <v>205Q9960</v>
      </c>
      <c r="D19" s="31">
        <v>2017</v>
      </c>
      <c r="E19" s="50">
        <v>44171</v>
      </c>
      <c r="F19" s="31"/>
      <c r="G19" s="31"/>
      <c r="H19" s="31"/>
      <c r="I19" s="5"/>
      <c r="J19" s="5"/>
      <c r="K19" s="5"/>
      <c r="L19" s="5"/>
      <c r="M19" s="5"/>
      <c r="N19" s="5"/>
      <c r="O19" s="5"/>
      <c r="P19" s="5"/>
    </row>
    <row r="20" spans="1:16" x14ac:dyDescent="0.2">
      <c r="A20" s="30">
        <v>12</v>
      </c>
      <c r="B20" s="51" t="str">
        <f>"Flex Focus 300"</f>
        <v>Flex Focus 300</v>
      </c>
      <c r="C20" s="43" t="str">
        <f>"5009775"</f>
        <v>5009775</v>
      </c>
      <c r="D20" s="43">
        <v>2017</v>
      </c>
      <c r="E20" s="50">
        <v>43990</v>
      </c>
      <c r="F20" s="31"/>
      <c r="G20" s="31"/>
      <c r="H20" s="31"/>
      <c r="I20" s="5"/>
      <c r="J20" s="5"/>
      <c r="K20" s="5"/>
      <c r="L20" s="5"/>
      <c r="M20" s="5"/>
      <c r="N20" s="5"/>
      <c r="O20" s="5"/>
      <c r="P20" s="5"/>
    </row>
    <row r="21" spans="1:16" ht="78" customHeight="1" x14ac:dyDescent="0.2">
      <c r="A21" s="33"/>
      <c r="B21" s="139" t="s">
        <v>576</v>
      </c>
      <c r="C21" s="139"/>
      <c r="D21" s="139"/>
      <c r="E21" s="139"/>
      <c r="F21" s="139"/>
      <c r="G21" s="37" t="s">
        <v>524</v>
      </c>
      <c r="H21" s="34"/>
      <c r="I21" s="5"/>
      <c r="J21" s="5"/>
      <c r="K21" s="5"/>
      <c r="L21" s="5"/>
      <c r="M21" s="5"/>
      <c r="N21" s="5"/>
      <c r="O21" s="5"/>
      <c r="P21" s="5"/>
    </row>
    <row r="22" spans="1:16" ht="60" customHeight="1" x14ac:dyDescent="0.2">
      <c r="A22" s="33"/>
      <c r="B22" s="110" t="s">
        <v>594</v>
      </c>
      <c r="C22" s="110"/>
      <c r="D22" s="110"/>
      <c r="E22" s="110"/>
      <c r="F22" s="110"/>
      <c r="G22" s="31" t="s">
        <v>524</v>
      </c>
      <c r="H22" s="34"/>
      <c r="I22" s="5"/>
      <c r="J22" s="5"/>
      <c r="K22" s="5"/>
      <c r="L22" s="5"/>
      <c r="M22" s="5"/>
      <c r="N22" s="5"/>
      <c r="O22" s="5"/>
      <c r="P22" s="5"/>
    </row>
    <row r="23" spans="1:16" ht="42.75" customHeight="1" x14ac:dyDescent="0.2">
      <c r="B23" s="135" t="s">
        <v>629</v>
      </c>
      <c r="C23" s="135"/>
      <c r="D23" s="135"/>
      <c r="E23" s="135"/>
      <c r="F23" s="135"/>
      <c r="G23" s="31" t="s">
        <v>524</v>
      </c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2">
      <c r="B24" s="3"/>
      <c r="C24" s="32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">
      <c r="A25" s="119" t="s">
        <v>332</v>
      </c>
      <c r="B25" s="124"/>
      <c r="C25" s="125">
        <f>SUM(H9:H20)</f>
        <v>0</v>
      </c>
      <c r="D25" s="126"/>
      <c r="E25" s="127"/>
      <c r="F25" s="128" t="s">
        <v>334</v>
      </c>
      <c r="G25" s="129"/>
      <c r="H25" s="120"/>
      <c r="I25" s="130"/>
      <c r="J25" s="131"/>
      <c r="K25" s="132"/>
    </row>
    <row r="26" spans="1:16" x14ac:dyDescent="0.2">
      <c r="A26" s="119" t="s">
        <v>335</v>
      </c>
      <c r="B26" s="120"/>
      <c r="C26" s="121"/>
      <c r="D26" s="122"/>
      <c r="E26" s="122"/>
      <c r="F26" s="122"/>
      <c r="G26" s="122"/>
      <c r="H26" s="122"/>
      <c r="I26" s="122"/>
      <c r="J26" s="122"/>
      <c r="K26" s="123"/>
    </row>
    <row r="27" spans="1:16" x14ac:dyDescent="0.2">
      <c r="A27" s="7"/>
      <c r="B27" s="10"/>
    </row>
    <row r="28" spans="1:16" x14ac:dyDescent="0.2">
      <c r="A28" s="6"/>
      <c r="B28" s="10"/>
      <c r="C28" s="16"/>
      <c r="D28" s="10"/>
      <c r="E28" s="10"/>
      <c r="F28" s="10"/>
      <c r="G28" s="10"/>
      <c r="H28" s="10"/>
      <c r="I28" s="10"/>
      <c r="J28" s="10"/>
      <c r="K28" s="10"/>
    </row>
    <row r="29" spans="1:16" x14ac:dyDescent="0.2">
      <c r="A29" s="7"/>
      <c r="B29" s="7"/>
      <c r="C29" s="17"/>
    </row>
    <row r="30" spans="1:16" x14ac:dyDescent="0.2">
      <c r="K30" s="4"/>
      <c r="L30" s="4"/>
    </row>
    <row r="31" spans="1:16" x14ac:dyDescent="0.2">
      <c r="K31" s="4"/>
      <c r="L31" s="4"/>
    </row>
    <row r="32" spans="1:16" x14ac:dyDescent="0.2">
      <c r="I32" s="10"/>
      <c r="J32" s="10"/>
      <c r="K32" s="27"/>
      <c r="L32" s="15"/>
    </row>
    <row r="33" spans="9:11" x14ac:dyDescent="0.2">
      <c r="I33" s="15"/>
      <c r="J33" s="15"/>
      <c r="K33" s="15"/>
    </row>
  </sheetData>
  <mergeCells count="12">
    <mergeCell ref="B22:F22"/>
    <mergeCell ref="B23:F23"/>
    <mergeCell ref="A26:B26"/>
    <mergeCell ref="C26:K26"/>
    <mergeCell ref="A4:B4"/>
    <mergeCell ref="C4:K4"/>
    <mergeCell ref="B6:L6"/>
    <mergeCell ref="A25:B25"/>
    <mergeCell ref="C25:E25"/>
    <mergeCell ref="F25:H25"/>
    <mergeCell ref="I25:K25"/>
    <mergeCell ref="B21:F2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5"/>
  <dimension ref="A2:P22"/>
  <sheetViews>
    <sheetView view="pageLayout" topLeftCell="A13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2.140625" customWidth="1"/>
    <col min="3" max="3" width="13.5703125" customWidth="1"/>
    <col min="4" max="4" width="13.140625" customWidth="1"/>
    <col min="5" max="5" width="15.5703125" customWidth="1"/>
    <col min="6" max="6" width="13.85546875" customWidth="1"/>
    <col min="7" max="7" width="10.7109375" customWidth="1"/>
    <col min="8" max="8" width="14.28515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53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579</v>
      </c>
      <c r="C9" s="31" t="s">
        <v>580</v>
      </c>
      <c r="D9" s="31">
        <v>2007</v>
      </c>
      <c r="E9" s="50">
        <v>44147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ht="123" customHeight="1" x14ac:dyDescent="0.2">
      <c r="A10" s="33"/>
      <c r="B10" s="110" t="s">
        <v>127</v>
      </c>
      <c r="C10" s="110"/>
      <c r="D10" s="110"/>
      <c r="E10" s="110"/>
      <c r="F10" s="110"/>
      <c r="G10" s="31" t="s">
        <v>524</v>
      </c>
      <c r="H10" s="34"/>
      <c r="I10" s="5"/>
      <c r="J10" s="5"/>
      <c r="K10" s="5"/>
      <c r="L10" s="5"/>
      <c r="M10" s="5"/>
      <c r="N10" s="5"/>
      <c r="O10" s="5"/>
      <c r="P10" s="5"/>
    </row>
    <row r="11" spans="1:16" ht="52.5" customHeight="1" x14ac:dyDescent="0.2">
      <c r="A11" s="33"/>
      <c r="B11" s="110" t="s">
        <v>620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  <c r="L11" s="5"/>
      <c r="M11" s="5"/>
      <c r="N11" s="5"/>
      <c r="O11" s="5"/>
      <c r="P11" s="5"/>
    </row>
    <row r="12" spans="1:16" ht="45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6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  <row r="16" spans="1:16" x14ac:dyDescent="0.2">
      <c r="A16" s="7"/>
      <c r="B16" s="10"/>
    </row>
    <row r="17" spans="1:12" x14ac:dyDescent="0.2">
      <c r="A17" s="6"/>
      <c r="B17" s="10"/>
      <c r="C17" s="16"/>
      <c r="D17" s="10"/>
      <c r="E17" s="10"/>
      <c r="F17" s="10"/>
      <c r="G17" s="10"/>
      <c r="H17" s="10"/>
      <c r="I17" s="10"/>
      <c r="J17" s="10"/>
      <c r="K17" s="10"/>
    </row>
    <row r="18" spans="1:12" x14ac:dyDescent="0.2">
      <c r="A18" s="7"/>
      <c r="B18" s="7"/>
      <c r="C18" s="17"/>
    </row>
    <row r="19" spans="1:12" x14ac:dyDescent="0.2">
      <c r="K19" s="4"/>
      <c r="L19" s="4"/>
    </row>
    <row r="20" spans="1:12" x14ac:dyDescent="0.2">
      <c r="K20" s="4"/>
      <c r="L20" s="4"/>
    </row>
    <row r="21" spans="1:12" x14ac:dyDescent="0.2">
      <c r="I21" s="10"/>
      <c r="J21" s="10"/>
      <c r="K21" s="27"/>
      <c r="L21" s="15"/>
    </row>
    <row r="22" spans="1:12" x14ac:dyDescent="0.2">
      <c r="I22" s="15"/>
      <c r="J22" s="15"/>
      <c r="K22" s="15"/>
    </row>
  </sheetData>
  <mergeCells count="12">
    <mergeCell ref="B11:F11"/>
    <mergeCell ref="B12:F12"/>
    <mergeCell ref="A15:B15"/>
    <mergeCell ref="C15:K15"/>
    <mergeCell ref="A4:B4"/>
    <mergeCell ref="C4:K4"/>
    <mergeCell ref="B6:L6"/>
    <mergeCell ref="A14:B14"/>
    <mergeCell ref="C14:E14"/>
    <mergeCell ref="F14:H14"/>
    <mergeCell ref="I14:K14"/>
    <mergeCell ref="B10:F1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7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6"/>
  <dimension ref="A2:P24"/>
  <sheetViews>
    <sheetView view="pageLayout" topLeftCell="A13" zoomScaleNormal="100" zoomScaleSheetLayoutView="100" workbookViewId="0">
      <selection activeCell="H9" sqref="H9:H11"/>
    </sheetView>
  </sheetViews>
  <sheetFormatPr defaultRowHeight="12.75" x14ac:dyDescent="0.2"/>
  <cols>
    <col min="1" max="1" width="3.7109375" customWidth="1"/>
    <col min="2" max="2" width="22.85546875" customWidth="1"/>
    <col min="3" max="3" width="11.7109375" customWidth="1"/>
    <col min="4" max="4" width="13.7109375" customWidth="1"/>
    <col min="5" max="5" width="13" customWidth="1"/>
    <col min="6" max="6" width="11.5703125" customWidth="1"/>
    <col min="7" max="7" width="12.5703125" customWidth="1"/>
    <col min="8" max="8" width="14.5703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15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54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31</v>
      </c>
      <c r="C9" s="38" t="s">
        <v>32</v>
      </c>
      <c r="D9" s="31">
        <v>2010</v>
      </c>
      <c r="E9" s="50">
        <v>44209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31</v>
      </c>
      <c r="C10" s="38" t="s">
        <v>33</v>
      </c>
      <c r="D10" s="31">
        <v>2008</v>
      </c>
      <c r="E10" s="50">
        <v>44257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31</v>
      </c>
      <c r="C11" s="38" t="s">
        <v>563</v>
      </c>
      <c r="D11" s="31">
        <v>2014</v>
      </c>
      <c r="E11" s="50">
        <v>44106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ht="69.75" customHeight="1" x14ac:dyDescent="0.2">
      <c r="A12" s="33"/>
      <c r="B12" s="110" t="s">
        <v>322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  <c r="L12" s="5"/>
      <c r="M12" s="5"/>
      <c r="N12" s="5"/>
      <c r="O12" s="5"/>
      <c r="P12" s="5"/>
    </row>
    <row r="13" spans="1:16" ht="66" customHeight="1" x14ac:dyDescent="0.2">
      <c r="A13" s="33"/>
      <c r="B13" s="110" t="s">
        <v>268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  <c r="M13" s="5"/>
      <c r="N13" s="5"/>
      <c r="O13" s="5"/>
      <c r="P13" s="5"/>
    </row>
    <row r="14" spans="1:16" ht="43.5" customHeight="1" x14ac:dyDescent="0.2">
      <c r="B14" s="111" t="s">
        <v>630</v>
      </c>
      <c r="C14" s="111"/>
      <c r="D14" s="111"/>
      <c r="E14" s="111"/>
      <c r="F14" s="111"/>
      <c r="G14" s="31" t="s">
        <v>524</v>
      </c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119" t="s">
        <v>332</v>
      </c>
      <c r="B16" s="124"/>
      <c r="C16" s="125">
        <f>SUM(H9:H11)</f>
        <v>0</v>
      </c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2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  <row r="18" spans="1:12" x14ac:dyDescent="0.2">
      <c r="A18" s="7"/>
      <c r="B18" s="10"/>
    </row>
    <row r="19" spans="1:12" x14ac:dyDescent="0.2">
      <c r="A19" s="6"/>
      <c r="B19" s="10"/>
      <c r="C19" s="16"/>
      <c r="D19" s="10"/>
      <c r="E19" s="10"/>
      <c r="F19" s="10"/>
      <c r="G19" s="10"/>
      <c r="H19" s="10"/>
      <c r="I19" s="10"/>
      <c r="J19" s="10"/>
      <c r="K19" s="10"/>
    </row>
    <row r="20" spans="1:12" x14ac:dyDescent="0.2">
      <c r="A20" s="7"/>
      <c r="B20" s="7"/>
      <c r="C20" s="17"/>
    </row>
    <row r="21" spans="1:12" x14ac:dyDescent="0.2">
      <c r="K21" s="4"/>
      <c r="L21" s="4"/>
    </row>
    <row r="22" spans="1:12" x14ac:dyDescent="0.2">
      <c r="K22" s="4"/>
      <c r="L22" s="4"/>
    </row>
    <row r="23" spans="1:12" x14ac:dyDescent="0.2">
      <c r="I23" s="10"/>
      <c r="J23" s="10"/>
      <c r="K23" s="27"/>
      <c r="L23" s="15"/>
    </row>
    <row r="24" spans="1:12" x14ac:dyDescent="0.2">
      <c r="I24" s="15"/>
      <c r="J24" s="15"/>
      <c r="K24" s="15"/>
    </row>
  </sheetData>
  <mergeCells count="12">
    <mergeCell ref="B13:F13"/>
    <mergeCell ref="B14:F14"/>
    <mergeCell ref="A17:B17"/>
    <mergeCell ref="C17:K17"/>
    <mergeCell ref="A4:B4"/>
    <mergeCell ref="C4:K4"/>
    <mergeCell ref="B6:L6"/>
    <mergeCell ref="A16:B16"/>
    <mergeCell ref="C16:E16"/>
    <mergeCell ref="F16:H16"/>
    <mergeCell ref="I16:K16"/>
    <mergeCell ref="B12:F1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9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7"/>
  <dimension ref="A2:P39"/>
  <sheetViews>
    <sheetView view="pageLayout" topLeftCell="A38" zoomScaleNormal="100" zoomScaleSheetLayoutView="100" workbookViewId="0">
      <selection activeCell="C31" sqref="C31:E31"/>
    </sheetView>
  </sheetViews>
  <sheetFormatPr defaultRowHeight="12.75" x14ac:dyDescent="0.2"/>
  <cols>
    <col min="1" max="1" width="4" customWidth="1"/>
    <col min="2" max="2" width="22.140625" customWidth="1"/>
    <col min="3" max="3" width="15.140625" customWidth="1"/>
    <col min="4" max="4" width="13.140625" customWidth="1"/>
    <col min="5" max="5" width="16.42578125" customWidth="1"/>
    <col min="6" max="6" width="10.7109375" customWidth="1"/>
    <col min="7" max="7" width="11.85546875" customWidth="1"/>
    <col min="8" max="8" width="17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16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55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tr">
        <f>"PV890"</f>
        <v>PV890</v>
      </c>
      <c r="C9" s="31" t="str">
        <f>"1282"</f>
        <v>1282</v>
      </c>
      <c r="D9" s="31">
        <v>2014</v>
      </c>
      <c r="E9" s="50">
        <v>44135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tr">
        <f>"PV890"</f>
        <v>PV890</v>
      </c>
      <c r="C10" s="31" t="str">
        <f>"1284"</f>
        <v>1284</v>
      </c>
      <c r="D10" s="31">
        <v>2014</v>
      </c>
      <c r="E10" s="50">
        <v>44135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tr">
        <f>"PV959"</f>
        <v>PV959</v>
      </c>
      <c r="C11" s="31" t="str">
        <f>"14-236612"</f>
        <v>14-236612</v>
      </c>
      <c r="D11" s="31">
        <v>2014</v>
      </c>
      <c r="E11" s="50">
        <v>44135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30">
        <v>4</v>
      </c>
      <c r="B12" s="30" t="str">
        <f>"PV959"</f>
        <v>PV959</v>
      </c>
      <c r="C12" s="31" t="str">
        <f>"14-236610"</f>
        <v>14-236610</v>
      </c>
      <c r="D12" s="31">
        <v>2014</v>
      </c>
      <c r="E12" s="50">
        <v>44135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30">
        <v>5</v>
      </c>
      <c r="B13" s="30" t="str">
        <f>"PV959"</f>
        <v>PV959</v>
      </c>
      <c r="C13" s="31" t="str">
        <f>"14-236898"</f>
        <v>14-236898</v>
      </c>
      <c r="D13" s="31">
        <v>2014</v>
      </c>
      <c r="E13" s="50">
        <v>44135</v>
      </c>
      <c r="F13" s="31"/>
      <c r="G13" s="31"/>
      <c r="H13" s="31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30">
        <v>6</v>
      </c>
      <c r="B14" s="30" t="str">
        <f>"PV959"</f>
        <v>PV959</v>
      </c>
      <c r="C14" s="31" t="str">
        <f>"14-236902"</f>
        <v>14-236902</v>
      </c>
      <c r="D14" s="31">
        <v>2014</v>
      </c>
      <c r="E14" s="50">
        <v>44135</v>
      </c>
      <c r="F14" s="31"/>
      <c r="G14" s="31"/>
      <c r="H14" s="31"/>
      <c r="I14" s="5"/>
      <c r="J14" s="5"/>
      <c r="K14" s="5"/>
      <c r="L14" s="5"/>
      <c r="M14" s="5"/>
      <c r="N14" s="5"/>
      <c r="O14" s="5"/>
      <c r="P14" s="5"/>
    </row>
    <row r="15" spans="1:16" x14ac:dyDescent="0.2">
      <c r="A15" s="30">
        <v>7</v>
      </c>
      <c r="B15" s="30" t="str">
        <f>"PG080"</f>
        <v>PG080</v>
      </c>
      <c r="C15" s="31" t="str">
        <f>"1405CE294"</f>
        <v>1405CE294</v>
      </c>
      <c r="D15" s="31">
        <v>2014</v>
      </c>
      <c r="E15" s="50">
        <v>44135</v>
      </c>
      <c r="F15" s="31"/>
      <c r="G15" s="31"/>
      <c r="H15" s="31"/>
      <c r="I15" s="5"/>
      <c r="J15" s="5"/>
      <c r="K15" s="5"/>
      <c r="L15" s="5"/>
      <c r="M15" s="5"/>
      <c r="N15" s="5"/>
      <c r="O15" s="5"/>
      <c r="P15" s="5"/>
    </row>
    <row r="16" spans="1:16" x14ac:dyDescent="0.2">
      <c r="A16" s="30">
        <v>8</v>
      </c>
      <c r="B16" s="30" t="str">
        <f>"PG080"</f>
        <v>PG080</v>
      </c>
      <c r="C16" s="31" t="str">
        <f>"1406CE501"</f>
        <v>1406CE501</v>
      </c>
      <c r="D16" s="31">
        <v>2014</v>
      </c>
      <c r="E16" s="50">
        <v>44135</v>
      </c>
      <c r="F16" s="31"/>
      <c r="G16" s="31"/>
      <c r="H16" s="31"/>
      <c r="I16" s="5"/>
      <c r="J16" s="5"/>
      <c r="K16" s="5"/>
      <c r="L16" s="5"/>
      <c r="M16" s="5"/>
      <c r="N16" s="5"/>
      <c r="O16" s="5"/>
      <c r="P16" s="5"/>
    </row>
    <row r="17" spans="1:16" x14ac:dyDescent="0.2">
      <c r="A17" s="30">
        <v>9</v>
      </c>
      <c r="B17" s="30" t="str">
        <f>"OP940"</f>
        <v>OP940</v>
      </c>
      <c r="C17" s="31" t="str">
        <f>"469937"</f>
        <v>469937</v>
      </c>
      <c r="D17" s="31">
        <v>2014</v>
      </c>
      <c r="E17" s="50">
        <v>44135</v>
      </c>
      <c r="F17" s="31"/>
      <c r="G17" s="31"/>
      <c r="H17" s="31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30">
        <v>10</v>
      </c>
      <c r="B18" s="30" t="str">
        <f>"OP940"</f>
        <v>OP940</v>
      </c>
      <c r="C18" s="31" t="str">
        <f>"473754"</f>
        <v>473754</v>
      </c>
      <c r="D18" s="31">
        <v>2014</v>
      </c>
      <c r="E18" s="50">
        <v>44135</v>
      </c>
      <c r="F18" s="31"/>
      <c r="G18" s="31"/>
      <c r="H18" s="31"/>
      <c r="I18" s="5"/>
      <c r="J18" s="5"/>
      <c r="K18" s="5"/>
      <c r="L18" s="5"/>
      <c r="M18" s="5"/>
      <c r="N18" s="5"/>
      <c r="O18" s="5"/>
      <c r="P18" s="5"/>
    </row>
    <row r="19" spans="1:16" x14ac:dyDescent="0.2">
      <c r="A19" s="30">
        <v>11</v>
      </c>
      <c r="B19" s="30" t="str">
        <f>"PV462"</f>
        <v>PV462</v>
      </c>
      <c r="C19" s="31" t="str">
        <f>"3713014"</f>
        <v>3713014</v>
      </c>
      <c r="D19" s="31">
        <v>2014</v>
      </c>
      <c r="E19" s="50">
        <v>44135</v>
      </c>
      <c r="F19" s="31"/>
      <c r="G19" s="31"/>
      <c r="H19" s="31"/>
      <c r="I19" s="5"/>
      <c r="J19" s="5"/>
      <c r="K19" s="5"/>
      <c r="L19" s="5"/>
      <c r="M19" s="5"/>
      <c r="N19" s="5"/>
      <c r="O19" s="5"/>
      <c r="P19" s="5"/>
    </row>
    <row r="20" spans="1:16" x14ac:dyDescent="0.2">
      <c r="A20" s="30">
        <v>12</v>
      </c>
      <c r="B20" s="30" t="str">
        <f>"PV472"</f>
        <v>PV472</v>
      </c>
      <c r="C20" s="31" t="str">
        <f>"475455"</f>
        <v>475455</v>
      </c>
      <c r="D20" s="31">
        <v>2014</v>
      </c>
      <c r="E20" s="50">
        <v>44135</v>
      </c>
      <c r="F20" s="31"/>
      <c r="G20" s="31"/>
      <c r="H20" s="31"/>
      <c r="I20" s="5"/>
      <c r="J20" s="5"/>
      <c r="K20" s="5"/>
      <c r="L20" s="5"/>
      <c r="M20" s="5"/>
      <c r="N20" s="5"/>
      <c r="O20" s="5"/>
      <c r="P20" s="5"/>
    </row>
    <row r="21" spans="1:16" x14ac:dyDescent="0.2">
      <c r="A21" s="30">
        <v>13</v>
      </c>
      <c r="B21" s="30" t="str">
        <f>"PV460"</f>
        <v>PV460</v>
      </c>
      <c r="C21" s="31" t="str">
        <f>"4008706"</f>
        <v>4008706</v>
      </c>
      <c r="D21" s="31">
        <v>2014</v>
      </c>
      <c r="E21" s="50">
        <v>44135</v>
      </c>
      <c r="F21" s="31"/>
      <c r="G21" s="31"/>
      <c r="H21" s="31"/>
      <c r="I21" s="5"/>
      <c r="J21" s="5"/>
      <c r="K21" s="5"/>
      <c r="L21" s="5"/>
      <c r="M21" s="5"/>
      <c r="N21" s="5"/>
      <c r="O21" s="5"/>
      <c r="P21" s="5"/>
    </row>
    <row r="22" spans="1:16" x14ac:dyDescent="0.2">
      <c r="A22" s="30">
        <v>14</v>
      </c>
      <c r="B22" s="30" t="str">
        <f>"PV470"</f>
        <v>PV470</v>
      </c>
      <c r="C22" s="31" t="str">
        <f>"475868"</f>
        <v>475868</v>
      </c>
      <c r="D22" s="31">
        <v>2014</v>
      </c>
      <c r="E22" s="50">
        <v>44135</v>
      </c>
      <c r="F22" s="31"/>
      <c r="G22" s="31"/>
      <c r="H22" s="31"/>
      <c r="I22" s="5"/>
      <c r="J22" s="5"/>
      <c r="K22" s="5"/>
      <c r="L22" s="5"/>
      <c r="M22" s="5"/>
      <c r="N22" s="5"/>
      <c r="O22" s="5"/>
      <c r="P22" s="5"/>
    </row>
    <row r="23" spans="1:16" x14ac:dyDescent="0.2">
      <c r="A23" s="30">
        <v>15</v>
      </c>
      <c r="B23" s="30" t="str">
        <f>"PG145"</f>
        <v>PG145</v>
      </c>
      <c r="C23" s="31" t="str">
        <f>"1403CE688"</f>
        <v>1403CE688</v>
      </c>
      <c r="D23" s="31">
        <v>2014</v>
      </c>
      <c r="E23" s="50">
        <v>44135</v>
      </c>
      <c r="F23" s="31"/>
      <c r="G23" s="31"/>
      <c r="H23" s="31"/>
      <c r="I23" s="5"/>
      <c r="J23" s="5"/>
      <c r="K23" s="5"/>
      <c r="L23" s="5"/>
      <c r="M23" s="5"/>
      <c r="N23" s="5"/>
      <c r="O23" s="5"/>
      <c r="P23" s="5"/>
    </row>
    <row r="24" spans="1:16" x14ac:dyDescent="0.2">
      <c r="A24" s="30">
        <v>16</v>
      </c>
      <c r="B24" s="30" t="str">
        <f>"PG145"</f>
        <v>PG145</v>
      </c>
      <c r="C24" s="31" t="str">
        <f>"1408CE357"</f>
        <v>1408CE357</v>
      </c>
      <c r="D24" s="31">
        <v>2014</v>
      </c>
      <c r="E24" s="50">
        <v>44135</v>
      </c>
      <c r="F24" s="31"/>
      <c r="G24" s="31"/>
      <c r="H24" s="31"/>
      <c r="I24" s="5"/>
      <c r="J24" s="5"/>
      <c r="K24" s="5"/>
      <c r="L24" s="5"/>
      <c r="M24" s="5"/>
      <c r="N24" s="5"/>
      <c r="O24" s="5"/>
      <c r="P24" s="5"/>
    </row>
    <row r="25" spans="1:16" x14ac:dyDescent="0.2">
      <c r="A25" s="30">
        <v>17</v>
      </c>
      <c r="B25" s="30" t="s">
        <v>210</v>
      </c>
      <c r="C25" s="31">
        <v>3337</v>
      </c>
      <c r="D25" s="31">
        <v>2014</v>
      </c>
      <c r="E25" s="50">
        <v>44135</v>
      </c>
      <c r="F25" s="31"/>
      <c r="G25" s="31"/>
      <c r="H25" s="31"/>
      <c r="I25" s="5"/>
      <c r="J25" s="5"/>
      <c r="K25" s="5"/>
      <c r="L25" s="5"/>
      <c r="M25" s="5"/>
      <c r="N25" s="5"/>
      <c r="O25" s="5"/>
      <c r="P25" s="5"/>
    </row>
    <row r="26" spans="1:16" x14ac:dyDescent="0.2">
      <c r="A26" s="30">
        <v>18</v>
      </c>
      <c r="B26" s="30" t="str">
        <f>"PV840"</f>
        <v>PV840</v>
      </c>
      <c r="C26" s="31" t="str">
        <f>"1136"</f>
        <v>1136</v>
      </c>
      <c r="D26" s="31">
        <v>2014</v>
      </c>
      <c r="E26" s="50">
        <v>44135</v>
      </c>
      <c r="F26" s="31"/>
      <c r="G26" s="31"/>
      <c r="H26" s="31"/>
      <c r="I26" s="5"/>
      <c r="J26" s="5"/>
      <c r="K26" s="5"/>
      <c r="L26" s="5"/>
      <c r="M26" s="5"/>
      <c r="N26" s="5"/>
      <c r="O26" s="5"/>
      <c r="P26" s="5"/>
    </row>
    <row r="27" spans="1:16" ht="109.5" customHeight="1" x14ac:dyDescent="0.2">
      <c r="A27" s="33"/>
      <c r="B27" s="140" t="s">
        <v>665</v>
      </c>
      <c r="C27" s="141"/>
      <c r="D27" s="141"/>
      <c r="E27" s="141"/>
      <c r="F27" s="142"/>
      <c r="G27" s="31" t="s">
        <v>524</v>
      </c>
      <c r="H27" s="34"/>
      <c r="I27" s="5"/>
      <c r="J27" s="5"/>
      <c r="K27" s="5"/>
      <c r="L27" s="5"/>
      <c r="M27" s="5"/>
      <c r="N27" s="5"/>
      <c r="O27" s="5"/>
      <c r="P27" s="5"/>
    </row>
    <row r="28" spans="1:16" ht="55.5" customHeight="1" x14ac:dyDescent="0.2">
      <c r="A28" s="33"/>
      <c r="B28" s="133" t="s">
        <v>594</v>
      </c>
      <c r="C28" s="133"/>
      <c r="D28" s="133"/>
      <c r="E28" s="133"/>
      <c r="F28" s="133"/>
      <c r="G28" s="31" t="s">
        <v>524</v>
      </c>
      <c r="H28" s="34"/>
      <c r="I28" s="5"/>
      <c r="J28" s="5"/>
      <c r="K28" s="5"/>
      <c r="L28" s="5"/>
      <c r="M28" s="5"/>
      <c r="N28" s="5"/>
      <c r="O28" s="5"/>
      <c r="P28" s="5"/>
    </row>
    <row r="29" spans="1:16" ht="42.75" customHeight="1" x14ac:dyDescent="0.2">
      <c r="B29" s="110" t="s">
        <v>628</v>
      </c>
      <c r="C29" s="110"/>
      <c r="D29" s="110"/>
      <c r="E29" s="110"/>
      <c r="F29" s="110"/>
      <c r="G29" s="31" t="s">
        <v>524</v>
      </c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2">
      <c r="B30" s="3"/>
      <c r="C30" s="32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">
      <c r="A31" s="119" t="s">
        <v>356</v>
      </c>
      <c r="B31" s="124"/>
      <c r="C31" s="125"/>
      <c r="D31" s="126"/>
      <c r="E31" s="127"/>
      <c r="F31" s="128" t="s">
        <v>334</v>
      </c>
      <c r="G31" s="129"/>
      <c r="H31" s="120"/>
      <c r="I31" s="130"/>
      <c r="J31" s="131"/>
      <c r="K31" s="132"/>
    </row>
    <row r="32" spans="1:16" x14ac:dyDescent="0.2">
      <c r="A32" s="119" t="s">
        <v>335</v>
      </c>
      <c r="B32" s="120"/>
      <c r="C32" s="121"/>
      <c r="D32" s="122"/>
      <c r="E32" s="122"/>
      <c r="F32" s="122"/>
      <c r="G32" s="122"/>
      <c r="H32" s="122"/>
      <c r="I32" s="122"/>
      <c r="J32" s="122"/>
      <c r="K32" s="123"/>
    </row>
    <row r="33" spans="1:12" x14ac:dyDescent="0.2">
      <c r="A33" s="7"/>
      <c r="B33" s="10"/>
    </row>
    <row r="34" spans="1:12" x14ac:dyDescent="0.2">
      <c r="A34" s="6"/>
      <c r="B34" s="10"/>
      <c r="C34" s="16"/>
      <c r="D34" s="10"/>
      <c r="E34" s="10"/>
      <c r="F34" s="10"/>
      <c r="G34" s="10"/>
      <c r="H34" s="10"/>
      <c r="I34" s="10"/>
      <c r="J34" s="10"/>
      <c r="K34" s="10"/>
    </row>
    <row r="35" spans="1:12" x14ac:dyDescent="0.2">
      <c r="A35" s="7"/>
      <c r="B35" s="7"/>
      <c r="C35" s="17"/>
    </row>
    <row r="36" spans="1:12" x14ac:dyDescent="0.2">
      <c r="K36" s="4"/>
      <c r="L36" s="4"/>
    </row>
    <row r="37" spans="1:12" x14ac:dyDescent="0.2">
      <c r="K37" s="4"/>
      <c r="L37" s="4"/>
    </row>
    <row r="38" spans="1:12" x14ac:dyDescent="0.2">
      <c r="I38" s="10"/>
      <c r="J38" s="10"/>
      <c r="K38" s="27"/>
      <c r="L38" s="15"/>
    </row>
    <row r="39" spans="1:12" x14ac:dyDescent="0.2">
      <c r="I39" s="15"/>
      <c r="J39" s="15"/>
      <c r="K39" s="15"/>
    </row>
  </sheetData>
  <mergeCells count="12">
    <mergeCell ref="B28:F28"/>
    <mergeCell ref="B29:F29"/>
    <mergeCell ref="A32:B32"/>
    <mergeCell ref="C32:K32"/>
    <mergeCell ref="A4:B4"/>
    <mergeCell ref="C4:K4"/>
    <mergeCell ref="B6:L6"/>
    <mergeCell ref="A31:B31"/>
    <mergeCell ref="C31:E31"/>
    <mergeCell ref="F31:H31"/>
    <mergeCell ref="I31:K31"/>
    <mergeCell ref="B27:F27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5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8"/>
  <dimension ref="A2:P29"/>
  <sheetViews>
    <sheetView view="pageLayout" topLeftCell="A13" zoomScaleNormal="100" zoomScaleSheetLayoutView="100" workbookViewId="0">
      <selection activeCell="H9" sqref="H9:H14"/>
    </sheetView>
  </sheetViews>
  <sheetFormatPr defaultRowHeight="12.75" x14ac:dyDescent="0.2"/>
  <cols>
    <col min="1" max="1" width="3.5703125" customWidth="1"/>
    <col min="2" max="2" width="36" customWidth="1"/>
    <col min="3" max="3" width="10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17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56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x14ac:dyDescent="0.2">
      <c r="A9" s="30">
        <v>1</v>
      </c>
      <c r="B9" s="30" t="s">
        <v>529</v>
      </c>
      <c r="C9" s="31">
        <v>38905</v>
      </c>
      <c r="D9" s="31">
        <v>2007</v>
      </c>
      <c r="E9" s="50">
        <v>44082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x14ac:dyDescent="0.2">
      <c r="A10" s="30">
        <v>2</v>
      </c>
      <c r="B10" s="30" t="s">
        <v>528</v>
      </c>
      <c r="C10" s="31">
        <v>37098</v>
      </c>
      <c r="D10" s="31">
        <v>2006</v>
      </c>
      <c r="E10" s="50">
        <v>44082</v>
      </c>
      <c r="F10" s="31"/>
      <c r="G10" s="31"/>
      <c r="H10" s="31"/>
      <c r="I10" s="5"/>
      <c r="J10" s="5"/>
      <c r="K10" s="5"/>
      <c r="L10" s="5"/>
      <c r="M10" s="5"/>
      <c r="N10" s="5"/>
      <c r="O10" s="5"/>
      <c r="P10" s="5"/>
    </row>
    <row r="11" spans="1:16" x14ac:dyDescent="0.2">
      <c r="A11" s="30">
        <v>3</v>
      </c>
      <c r="B11" s="30" t="s">
        <v>529</v>
      </c>
      <c r="C11" s="31">
        <v>28961</v>
      </c>
      <c r="D11" s="31">
        <v>2004</v>
      </c>
      <c r="E11" s="50">
        <v>44082</v>
      </c>
      <c r="F11" s="31"/>
      <c r="G11" s="31"/>
      <c r="H11" s="31"/>
      <c r="I11" s="5"/>
      <c r="J11" s="5"/>
      <c r="K11" s="5"/>
      <c r="L11" s="5"/>
      <c r="M11" s="5"/>
      <c r="N11" s="5"/>
      <c r="O11" s="5"/>
      <c r="P11" s="5"/>
    </row>
    <row r="12" spans="1:16" x14ac:dyDescent="0.2">
      <c r="A12" s="30">
        <v>4</v>
      </c>
      <c r="B12" s="30" t="s">
        <v>564</v>
      </c>
      <c r="C12" s="31">
        <v>40451</v>
      </c>
      <c r="D12" s="31">
        <v>2008</v>
      </c>
      <c r="E12" s="50">
        <v>44082</v>
      </c>
      <c r="F12" s="31"/>
      <c r="G12" s="31"/>
      <c r="H12" s="31"/>
      <c r="I12" s="5"/>
      <c r="J12" s="5"/>
      <c r="K12" s="5"/>
      <c r="L12" s="5"/>
      <c r="M12" s="5"/>
      <c r="N12" s="5"/>
      <c r="O12" s="5"/>
      <c r="P12" s="5"/>
    </row>
    <row r="13" spans="1:16" x14ac:dyDescent="0.2">
      <c r="A13" s="30">
        <v>5</v>
      </c>
      <c r="B13" s="30" t="s">
        <v>564</v>
      </c>
      <c r="C13" s="31">
        <v>39450</v>
      </c>
      <c r="D13" s="31">
        <v>2007</v>
      </c>
      <c r="E13" s="50">
        <v>44082</v>
      </c>
      <c r="F13" s="31"/>
      <c r="G13" s="31"/>
      <c r="H13" s="31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30">
        <v>6</v>
      </c>
      <c r="B14" s="30" t="s">
        <v>564</v>
      </c>
      <c r="C14" s="31">
        <v>58439</v>
      </c>
      <c r="D14" s="31">
        <v>2013</v>
      </c>
      <c r="E14" s="50">
        <v>44082</v>
      </c>
      <c r="F14" s="31"/>
      <c r="G14" s="31"/>
      <c r="H14" s="31"/>
      <c r="I14" s="5"/>
      <c r="J14" s="5"/>
      <c r="K14" s="5"/>
      <c r="L14" s="5"/>
      <c r="M14" s="5"/>
      <c r="N14" s="5"/>
      <c r="O14" s="5"/>
      <c r="P14" s="5"/>
    </row>
    <row r="15" spans="1:16" ht="105" customHeight="1" x14ac:dyDescent="0.2">
      <c r="A15" s="33"/>
      <c r="B15" s="133" t="s">
        <v>587</v>
      </c>
      <c r="C15" s="133"/>
      <c r="D15" s="133"/>
      <c r="E15" s="133"/>
      <c r="F15" s="133"/>
      <c r="G15" s="31" t="s">
        <v>524</v>
      </c>
      <c r="H15" s="34"/>
      <c r="I15" s="5"/>
      <c r="J15" s="5"/>
      <c r="K15" s="5"/>
      <c r="L15" s="5"/>
      <c r="M15" s="5"/>
      <c r="N15" s="5"/>
      <c r="O15" s="5"/>
      <c r="P15" s="5"/>
    </row>
    <row r="16" spans="1:16" ht="56.25" customHeight="1" x14ac:dyDescent="0.2">
      <c r="A16" s="33"/>
      <c r="B16" s="133" t="s">
        <v>594</v>
      </c>
      <c r="C16" s="133"/>
      <c r="D16" s="133"/>
      <c r="E16" s="133"/>
      <c r="F16" s="133"/>
      <c r="G16" s="31" t="s">
        <v>524</v>
      </c>
      <c r="H16" s="34"/>
      <c r="I16" s="5"/>
      <c r="J16" s="5"/>
      <c r="K16" s="5"/>
      <c r="L16" s="5"/>
      <c r="M16" s="5"/>
      <c r="N16" s="5"/>
      <c r="O16" s="5"/>
      <c r="P16" s="5"/>
    </row>
    <row r="17" spans="1:16" ht="40.5" customHeight="1" x14ac:dyDescent="0.2">
      <c r="A17" s="33"/>
      <c r="B17" s="133" t="s">
        <v>318</v>
      </c>
      <c r="C17" s="133"/>
      <c r="D17" s="133"/>
      <c r="E17" s="133"/>
      <c r="F17" s="133"/>
      <c r="G17" s="31" t="s">
        <v>524</v>
      </c>
      <c r="H17" s="34"/>
      <c r="I17" s="5"/>
      <c r="J17" s="5"/>
      <c r="K17" s="5"/>
      <c r="L17" s="5"/>
      <c r="M17" s="5"/>
      <c r="N17" s="5"/>
      <c r="O17" s="5"/>
      <c r="P17" s="5"/>
    </row>
    <row r="18" spans="1:16" x14ac:dyDescent="0.2">
      <c r="A18" s="33"/>
      <c r="B18" s="33"/>
      <c r="C18" s="34"/>
      <c r="D18" s="34"/>
      <c r="E18" s="34"/>
      <c r="F18" s="34"/>
      <c r="G18" s="34"/>
      <c r="H18" s="34"/>
      <c r="I18" s="5"/>
      <c r="J18" s="5"/>
      <c r="K18" s="5"/>
      <c r="L18" s="5"/>
      <c r="M18" s="5"/>
      <c r="N18" s="5"/>
      <c r="O18" s="5"/>
      <c r="P18" s="5"/>
    </row>
    <row r="19" spans="1:16" x14ac:dyDescent="0.2">
      <c r="B19" s="3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">
      <c r="B20" s="3"/>
      <c r="C20" s="32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">
      <c r="A21" s="119" t="s">
        <v>356</v>
      </c>
      <c r="B21" s="124"/>
      <c r="C21" s="125">
        <f>SUM(H9:H14)</f>
        <v>0</v>
      </c>
      <c r="D21" s="126"/>
      <c r="E21" s="127"/>
      <c r="F21" s="128" t="s">
        <v>334</v>
      </c>
      <c r="G21" s="129"/>
      <c r="H21" s="120"/>
      <c r="I21" s="130"/>
      <c r="J21" s="131"/>
      <c r="K21" s="132"/>
    </row>
    <row r="22" spans="1:16" x14ac:dyDescent="0.2">
      <c r="A22" s="119" t="s">
        <v>335</v>
      </c>
      <c r="B22" s="120"/>
      <c r="C22" s="121"/>
      <c r="D22" s="122"/>
      <c r="E22" s="122"/>
      <c r="F22" s="122"/>
      <c r="G22" s="122"/>
      <c r="H22" s="122"/>
      <c r="I22" s="122"/>
      <c r="J22" s="122"/>
      <c r="K22" s="123"/>
    </row>
    <row r="23" spans="1:16" x14ac:dyDescent="0.2">
      <c r="A23" s="7"/>
      <c r="B23" s="10"/>
    </row>
    <row r="24" spans="1:16" x14ac:dyDescent="0.2">
      <c r="A24" s="6"/>
      <c r="B24" s="10"/>
      <c r="C24" s="16"/>
      <c r="D24" s="10"/>
      <c r="E24" s="10"/>
      <c r="F24" s="10"/>
      <c r="G24" s="10"/>
      <c r="H24" s="10"/>
      <c r="I24" s="10"/>
      <c r="J24" s="10"/>
      <c r="K24" s="10"/>
    </row>
    <row r="25" spans="1:16" x14ac:dyDescent="0.2">
      <c r="A25" s="7"/>
      <c r="B25" s="7"/>
      <c r="C25" s="17"/>
    </row>
    <row r="26" spans="1:16" x14ac:dyDescent="0.2">
      <c r="K26" s="4"/>
      <c r="L26" s="4"/>
    </row>
    <row r="27" spans="1:16" x14ac:dyDescent="0.2">
      <c r="K27" s="4"/>
      <c r="L27" s="4"/>
    </row>
    <row r="28" spans="1:16" x14ac:dyDescent="0.2">
      <c r="I28" s="10"/>
      <c r="J28" s="10"/>
      <c r="K28" s="27"/>
      <c r="L28" s="15"/>
    </row>
    <row r="29" spans="1:16" x14ac:dyDescent="0.2">
      <c r="I29" s="15"/>
      <c r="J29" s="15"/>
      <c r="K29" s="15"/>
    </row>
  </sheetData>
  <mergeCells count="12">
    <mergeCell ref="A22:B22"/>
    <mergeCell ref="C22:K22"/>
    <mergeCell ref="B16:F16"/>
    <mergeCell ref="B17:F17"/>
    <mergeCell ref="A21:B21"/>
    <mergeCell ref="C21:E21"/>
    <mergeCell ref="F21:H21"/>
    <mergeCell ref="I21:K21"/>
    <mergeCell ref="A4:B4"/>
    <mergeCell ref="C4:K4"/>
    <mergeCell ref="B6:L6"/>
    <mergeCell ref="B15:F1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9"/>
  <dimension ref="A2:L39"/>
  <sheetViews>
    <sheetView view="pageLayout" topLeftCell="A33" zoomScaleNormal="100" zoomScaleSheetLayoutView="100" workbookViewId="0">
      <selection activeCell="I23" sqref="I23"/>
    </sheetView>
  </sheetViews>
  <sheetFormatPr defaultRowHeight="12.75" x14ac:dyDescent="0.2"/>
  <cols>
    <col min="1" max="1" width="3.5703125" customWidth="1"/>
    <col min="2" max="2" width="36" customWidth="1"/>
    <col min="3" max="3" width="10" bestFit="1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18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">
      <c r="A4" s="112" t="s">
        <v>326</v>
      </c>
      <c r="B4" s="113"/>
      <c r="C4" s="116" t="s">
        <v>57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ht="25.5" x14ac:dyDescent="0.2">
      <c r="A9" s="30">
        <v>1</v>
      </c>
      <c r="B9" s="30" t="s">
        <v>58</v>
      </c>
      <c r="C9" s="31" t="s">
        <v>595</v>
      </c>
      <c r="D9" s="31">
        <v>2006</v>
      </c>
      <c r="E9" s="50">
        <v>44104</v>
      </c>
      <c r="F9" s="31"/>
      <c r="G9" s="31"/>
      <c r="H9" s="31"/>
      <c r="I9" s="5"/>
      <c r="J9" s="5"/>
      <c r="K9" s="5"/>
      <c r="L9" s="5"/>
    </row>
    <row r="10" spans="1:12" ht="25.5" x14ac:dyDescent="0.2">
      <c r="A10" s="30">
        <v>2</v>
      </c>
      <c r="B10" s="30" t="s">
        <v>58</v>
      </c>
      <c r="C10" s="31" t="s">
        <v>596</v>
      </c>
      <c r="D10" s="31">
        <v>2006</v>
      </c>
      <c r="E10" s="50">
        <v>44104</v>
      </c>
      <c r="F10" s="31"/>
      <c r="G10" s="31"/>
      <c r="H10" s="31"/>
      <c r="I10" s="5"/>
      <c r="J10" s="5"/>
      <c r="K10" s="5"/>
      <c r="L10" s="5"/>
    </row>
    <row r="11" spans="1:12" ht="25.5" x14ac:dyDescent="0.2">
      <c r="A11" s="30">
        <v>3</v>
      </c>
      <c r="B11" s="30" t="s">
        <v>58</v>
      </c>
      <c r="C11" s="31" t="s">
        <v>597</v>
      </c>
      <c r="D11" s="31">
        <v>2006</v>
      </c>
      <c r="E11" s="50">
        <v>44104</v>
      </c>
      <c r="F11" s="31"/>
      <c r="G11" s="31"/>
      <c r="H11" s="31"/>
      <c r="I11" s="5"/>
      <c r="J11" s="5"/>
      <c r="K11" s="5"/>
      <c r="L11" s="5"/>
    </row>
    <row r="12" spans="1:12" ht="25.5" x14ac:dyDescent="0.2">
      <c r="A12" s="30">
        <v>4</v>
      </c>
      <c r="B12" s="36" t="s">
        <v>59</v>
      </c>
      <c r="C12" s="31" t="s">
        <v>6</v>
      </c>
      <c r="D12" s="31">
        <v>2013</v>
      </c>
      <c r="E12" s="50">
        <v>44165</v>
      </c>
      <c r="F12" s="31"/>
      <c r="G12" s="31"/>
      <c r="H12" s="31"/>
      <c r="I12" s="5"/>
      <c r="J12" s="5"/>
      <c r="K12" s="5"/>
      <c r="L12" s="5"/>
    </row>
    <row r="13" spans="1:12" ht="25.5" x14ac:dyDescent="0.2">
      <c r="A13" s="30">
        <v>5</v>
      </c>
      <c r="B13" s="30" t="s">
        <v>60</v>
      </c>
      <c r="C13" s="31" t="s">
        <v>7</v>
      </c>
      <c r="D13" s="31">
        <v>2013</v>
      </c>
      <c r="E13" s="50">
        <v>44165</v>
      </c>
      <c r="F13" s="31"/>
      <c r="G13" s="31"/>
      <c r="H13" s="31"/>
      <c r="I13" s="5"/>
      <c r="J13" s="5"/>
      <c r="K13" s="5"/>
      <c r="L13" s="5"/>
    </row>
    <row r="14" spans="1:12" ht="25.5" x14ac:dyDescent="0.2">
      <c r="A14" s="30">
        <v>6</v>
      </c>
      <c r="B14" s="30" t="s">
        <v>60</v>
      </c>
      <c r="C14" s="31" t="s">
        <v>8</v>
      </c>
      <c r="D14" s="31">
        <v>2013</v>
      </c>
      <c r="E14" s="50">
        <v>44165</v>
      </c>
      <c r="F14" s="31"/>
      <c r="G14" s="31"/>
      <c r="H14" s="31"/>
      <c r="I14" s="5"/>
      <c r="J14" s="5"/>
      <c r="K14" s="5"/>
      <c r="L14" s="5"/>
    </row>
    <row r="15" spans="1:12" ht="25.5" x14ac:dyDescent="0.2">
      <c r="A15" s="30">
        <v>7</v>
      </c>
      <c r="B15" s="30" t="s">
        <v>60</v>
      </c>
      <c r="C15" s="31" t="s">
        <v>9</v>
      </c>
      <c r="D15" s="31">
        <v>2013</v>
      </c>
      <c r="E15" s="50">
        <v>44165</v>
      </c>
      <c r="F15" s="31"/>
      <c r="G15" s="31"/>
      <c r="H15" s="31"/>
      <c r="I15" s="5"/>
      <c r="J15" s="5"/>
      <c r="K15" s="5"/>
      <c r="L15" s="5"/>
    </row>
    <row r="16" spans="1:12" ht="25.5" x14ac:dyDescent="0.2">
      <c r="A16" s="30">
        <v>8</v>
      </c>
      <c r="B16" s="30" t="s">
        <v>60</v>
      </c>
      <c r="C16" s="31" t="s">
        <v>10</v>
      </c>
      <c r="D16" s="31">
        <v>2013</v>
      </c>
      <c r="E16" s="50">
        <v>44165</v>
      </c>
      <c r="F16" s="31"/>
      <c r="G16" s="31"/>
      <c r="H16" s="31"/>
      <c r="I16" s="5"/>
      <c r="J16" s="5"/>
      <c r="K16" s="5"/>
      <c r="L16" s="5"/>
    </row>
    <row r="17" spans="1:12" ht="25.5" x14ac:dyDescent="0.2">
      <c r="A17" s="30">
        <v>9</v>
      </c>
      <c r="B17" s="30" t="s">
        <v>60</v>
      </c>
      <c r="C17" s="31" t="s">
        <v>11</v>
      </c>
      <c r="D17" s="31">
        <v>2013</v>
      </c>
      <c r="E17" s="50">
        <v>44165</v>
      </c>
      <c r="F17" s="31"/>
      <c r="G17" s="31"/>
      <c r="H17" s="31"/>
      <c r="I17" s="5"/>
      <c r="J17" s="5"/>
      <c r="K17" s="5"/>
      <c r="L17" s="5"/>
    </row>
    <row r="18" spans="1:12" ht="25.5" x14ac:dyDescent="0.2">
      <c r="A18" s="30">
        <v>10</v>
      </c>
      <c r="B18" s="30" t="s">
        <v>60</v>
      </c>
      <c r="C18" s="31" t="s">
        <v>12</v>
      </c>
      <c r="D18" s="31">
        <v>2013</v>
      </c>
      <c r="E18" s="50">
        <v>44165</v>
      </c>
      <c r="F18" s="31"/>
      <c r="G18" s="31"/>
      <c r="H18" s="31"/>
      <c r="I18" s="5"/>
      <c r="J18" s="5"/>
      <c r="K18" s="5"/>
      <c r="L18" s="5"/>
    </row>
    <row r="19" spans="1:12" ht="25.5" x14ac:dyDescent="0.2">
      <c r="A19" s="30">
        <v>11</v>
      </c>
      <c r="B19" s="30" t="s">
        <v>60</v>
      </c>
      <c r="C19" s="31" t="s">
        <v>13</v>
      </c>
      <c r="D19" s="31">
        <v>2013</v>
      </c>
      <c r="E19" s="50">
        <v>44165</v>
      </c>
      <c r="F19" s="31"/>
      <c r="G19" s="31"/>
      <c r="H19" s="31"/>
      <c r="I19" s="5"/>
      <c r="J19" s="5"/>
      <c r="K19" s="5"/>
      <c r="L19" s="5"/>
    </row>
    <row r="20" spans="1:12" ht="25.5" x14ac:dyDescent="0.2">
      <c r="A20" s="30">
        <v>12</v>
      </c>
      <c r="B20" s="30" t="s">
        <v>60</v>
      </c>
      <c r="C20" s="31" t="s">
        <v>14</v>
      </c>
      <c r="D20" s="31">
        <v>2013</v>
      </c>
      <c r="E20" s="50">
        <v>44165</v>
      </c>
      <c r="F20" s="31"/>
      <c r="G20" s="31"/>
      <c r="H20" s="31"/>
      <c r="I20" s="5"/>
      <c r="J20" s="5"/>
      <c r="K20" s="5"/>
      <c r="L20" s="5"/>
    </row>
    <row r="21" spans="1:12" ht="25.5" x14ac:dyDescent="0.2">
      <c r="A21" s="30">
        <v>13</v>
      </c>
      <c r="B21" s="30" t="s">
        <v>60</v>
      </c>
      <c r="C21" s="31" t="s">
        <v>15</v>
      </c>
      <c r="D21" s="31">
        <v>2013</v>
      </c>
      <c r="E21" s="50">
        <v>44165</v>
      </c>
      <c r="F21" s="31"/>
      <c r="G21" s="31"/>
      <c r="H21" s="31"/>
      <c r="I21" s="5"/>
      <c r="J21" s="5"/>
      <c r="K21" s="5"/>
      <c r="L21" s="5"/>
    </row>
    <row r="22" spans="1:12" ht="25.5" x14ac:dyDescent="0.2">
      <c r="A22" s="30">
        <v>14</v>
      </c>
      <c r="B22" s="30" t="s">
        <v>60</v>
      </c>
      <c r="C22" s="31" t="s">
        <v>16</v>
      </c>
      <c r="D22" s="31">
        <v>2013</v>
      </c>
      <c r="E22" s="50">
        <v>44165</v>
      </c>
      <c r="F22" s="31"/>
      <c r="G22" s="31"/>
      <c r="H22" s="31"/>
      <c r="I22" s="5"/>
      <c r="J22" s="5"/>
      <c r="K22" s="5"/>
      <c r="L22" s="5"/>
    </row>
    <row r="23" spans="1:12" ht="25.5" x14ac:dyDescent="0.2">
      <c r="A23" s="30">
        <v>15</v>
      </c>
      <c r="B23" s="30" t="s">
        <v>60</v>
      </c>
      <c r="C23" s="31" t="s">
        <v>17</v>
      </c>
      <c r="D23" s="31">
        <v>2014</v>
      </c>
      <c r="E23" s="50">
        <v>44165</v>
      </c>
      <c r="F23" s="31"/>
      <c r="G23" s="31"/>
      <c r="H23" s="31"/>
      <c r="I23" s="5"/>
      <c r="J23" s="5"/>
      <c r="K23" s="5"/>
      <c r="L23" s="5"/>
    </row>
    <row r="24" spans="1:12" ht="25.5" x14ac:dyDescent="0.2">
      <c r="A24" s="30">
        <v>16</v>
      </c>
      <c r="B24" s="36" t="s">
        <v>18</v>
      </c>
      <c r="C24" s="31" t="s">
        <v>19</v>
      </c>
      <c r="D24" s="31">
        <v>2014</v>
      </c>
      <c r="E24" s="50">
        <v>44165</v>
      </c>
      <c r="F24" s="31"/>
      <c r="G24" s="31"/>
      <c r="H24" s="31"/>
      <c r="I24" s="5"/>
      <c r="J24" s="5"/>
      <c r="K24" s="5"/>
      <c r="L24" s="5"/>
    </row>
    <row r="25" spans="1:12" ht="25.5" x14ac:dyDescent="0.2">
      <c r="A25" s="30">
        <v>17</v>
      </c>
      <c r="B25" s="36" t="s">
        <v>18</v>
      </c>
      <c r="C25" s="31" t="s">
        <v>20</v>
      </c>
      <c r="D25" s="31">
        <v>2014</v>
      </c>
      <c r="E25" s="50">
        <v>44165</v>
      </c>
      <c r="F25" s="31"/>
      <c r="G25" s="31"/>
      <c r="H25" s="31"/>
      <c r="I25" s="5"/>
      <c r="J25" s="5"/>
      <c r="K25" s="5"/>
      <c r="L25" s="5"/>
    </row>
    <row r="26" spans="1:12" ht="25.5" x14ac:dyDescent="0.2">
      <c r="A26" s="30">
        <v>18</v>
      </c>
      <c r="B26" s="36" t="s">
        <v>18</v>
      </c>
      <c r="C26" s="31" t="s">
        <v>21</v>
      </c>
      <c r="D26" s="31">
        <v>2014</v>
      </c>
      <c r="E26" s="50">
        <v>44165</v>
      </c>
      <c r="F26" s="31"/>
      <c r="G26" s="31"/>
      <c r="H26" s="31"/>
      <c r="I26" s="5"/>
      <c r="J26" s="5"/>
      <c r="K26" s="5"/>
      <c r="L26" s="5"/>
    </row>
    <row r="27" spans="1:12" ht="25.5" x14ac:dyDescent="0.2">
      <c r="A27" s="30">
        <v>19</v>
      </c>
      <c r="B27" s="30" t="s">
        <v>61</v>
      </c>
      <c r="C27" s="31" t="s">
        <v>22</v>
      </c>
      <c r="D27" s="31">
        <v>2014</v>
      </c>
      <c r="E27" s="50">
        <v>44165</v>
      </c>
      <c r="F27" s="31"/>
      <c r="G27" s="31"/>
      <c r="H27" s="31"/>
      <c r="I27" s="5"/>
      <c r="J27" s="5"/>
      <c r="K27" s="5"/>
      <c r="L27" s="5"/>
    </row>
    <row r="28" spans="1:12" ht="25.5" x14ac:dyDescent="0.2">
      <c r="A28" s="30">
        <v>20</v>
      </c>
      <c r="B28" s="30" t="s">
        <v>61</v>
      </c>
      <c r="C28" s="31" t="s">
        <v>23</v>
      </c>
      <c r="D28" s="31">
        <v>2014</v>
      </c>
      <c r="E28" s="50">
        <v>44165</v>
      </c>
      <c r="F28" s="31"/>
      <c r="G28" s="31"/>
      <c r="H28" s="31"/>
      <c r="I28" s="5"/>
      <c r="J28" s="5"/>
      <c r="K28" s="5"/>
      <c r="L28" s="5"/>
    </row>
    <row r="29" spans="1:12" ht="109.5" customHeight="1" x14ac:dyDescent="0.2">
      <c r="A29" s="33"/>
      <c r="B29" s="143" t="s">
        <v>665</v>
      </c>
      <c r="C29" s="144"/>
      <c r="D29" s="144"/>
      <c r="E29" s="144"/>
      <c r="F29" s="145"/>
      <c r="G29" s="31" t="s">
        <v>524</v>
      </c>
      <c r="H29" s="34"/>
      <c r="I29" s="5"/>
      <c r="J29" s="5"/>
      <c r="K29" s="5"/>
      <c r="L29" s="5"/>
    </row>
    <row r="30" spans="1:12" ht="54.75" customHeight="1" x14ac:dyDescent="0.2">
      <c r="A30" s="33"/>
      <c r="B30" s="133" t="s">
        <v>594</v>
      </c>
      <c r="C30" s="133"/>
      <c r="D30" s="133"/>
      <c r="E30" s="133"/>
      <c r="F30" s="133"/>
      <c r="G30" s="31" t="s">
        <v>524</v>
      </c>
      <c r="H30" s="34"/>
      <c r="I30" s="5"/>
      <c r="J30" s="5"/>
      <c r="K30" s="5"/>
      <c r="L30" s="5"/>
    </row>
    <row r="31" spans="1:12" ht="41.25" customHeight="1" x14ac:dyDescent="0.2">
      <c r="A31" s="33"/>
      <c r="B31" s="133" t="s">
        <v>631</v>
      </c>
      <c r="C31" s="133"/>
      <c r="D31" s="133"/>
      <c r="E31" s="133"/>
      <c r="F31" s="133"/>
      <c r="G31" s="31" t="s">
        <v>524</v>
      </c>
      <c r="H31" s="34"/>
      <c r="I31" s="5"/>
      <c r="J31" s="5"/>
      <c r="K31" s="5"/>
      <c r="L31" s="5"/>
    </row>
    <row r="32" spans="1:12" x14ac:dyDescent="0.2">
      <c r="A32" s="33"/>
      <c r="B32" s="33"/>
      <c r="C32" s="34"/>
      <c r="D32" s="34"/>
      <c r="E32" s="34"/>
      <c r="F32" s="34"/>
      <c r="G32" s="34"/>
      <c r="H32" s="34"/>
      <c r="I32" s="5"/>
      <c r="J32" s="5"/>
      <c r="K32" s="5"/>
      <c r="L32" s="5"/>
    </row>
    <row r="33" spans="1:12" x14ac:dyDescent="0.2">
      <c r="B33" s="3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">
      <c r="B34" s="3"/>
      <c r="C34" s="32"/>
      <c r="D34" s="5"/>
      <c r="E34" s="5"/>
      <c r="F34" s="5"/>
      <c r="G34" s="5"/>
      <c r="H34" s="5"/>
      <c r="I34" s="5"/>
      <c r="J34" s="5"/>
      <c r="K34" s="5"/>
      <c r="L34" s="5"/>
    </row>
    <row r="35" spans="1:12" x14ac:dyDescent="0.2">
      <c r="A35" s="119" t="s">
        <v>356</v>
      </c>
      <c r="B35" s="124"/>
      <c r="C35" s="125">
        <f>SUM(H8:H28)</f>
        <v>0</v>
      </c>
      <c r="D35" s="126"/>
      <c r="E35" s="127"/>
      <c r="F35" s="128" t="s">
        <v>334</v>
      </c>
      <c r="G35" s="129"/>
      <c r="H35" s="120"/>
      <c r="I35" s="130"/>
      <c r="J35" s="131"/>
      <c r="K35" s="132"/>
    </row>
    <row r="36" spans="1:12" x14ac:dyDescent="0.2">
      <c r="A36" s="119" t="s">
        <v>335</v>
      </c>
      <c r="B36" s="120"/>
      <c r="C36" s="121"/>
      <c r="D36" s="122"/>
      <c r="E36" s="122"/>
      <c r="F36" s="122"/>
      <c r="G36" s="122"/>
      <c r="H36" s="122"/>
      <c r="I36" s="122"/>
      <c r="J36" s="122"/>
      <c r="K36" s="123"/>
    </row>
    <row r="37" spans="1:12" x14ac:dyDescent="0.2">
      <c r="A37" s="7"/>
      <c r="B37" s="10"/>
    </row>
    <row r="38" spans="1:12" x14ac:dyDescent="0.2">
      <c r="A38" s="6"/>
      <c r="B38" s="10"/>
      <c r="C38" s="16"/>
      <c r="D38" s="10"/>
      <c r="E38" s="10"/>
      <c r="F38" s="10"/>
      <c r="G38" s="10"/>
      <c r="H38" s="10"/>
      <c r="I38" s="10"/>
      <c r="J38" s="10"/>
      <c r="K38" s="10"/>
    </row>
    <row r="39" spans="1:12" x14ac:dyDescent="0.2">
      <c r="A39" s="7"/>
      <c r="B39" s="7"/>
      <c r="C39" s="17"/>
    </row>
  </sheetData>
  <mergeCells count="12">
    <mergeCell ref="A36:B36"/>
    <mergeCell ref="C36:K36"/>
    <mergeCell ref="B30:F30"/>
    <mergeCell ref="B31:F31"/>
    <mergeCell ref="A35:B35"/>
    <mergeCell ref="C35:E35"/>
    <mergeCell ref="F35:H35"/>
    <mergeCell ref="I35:K35"/>
    <mergeCell ref="A4:B4"/>
    <mergeCell ref="C4:K4"/>
    <mergeCell ref="B6:L6"/>
    <mergeCell ref="B29:F29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2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0"/>
  <dimension ref="A2:L27"/>
  <sheetViews>
    <sheetView view="pageLayout" topLeftCell="A20" zoomScaleNormal="100" zoomScaleSheetLayoutView="100" workbookViewId="0">
      <selection activeCell="C26" sqref="C26:E26"/>
    </sheetView>
  </sheetViews>
  <sheetFormatPr defaultRowHeight="12.75" x14ac:dyDescent="0.2"/>
  <cols>
    <col min="1" max="1" width="3.5703125" customWidth="1"/>
    <col min="2" max="2" width="37.5703125" bestFit="1" customWidth="1"/>
    <col min="3" max="3" width="11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19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">
      <c r="A4" s="112" t="s">
        <v>326</v>
      </c>
      <c r="B4" s="113"/>
      <c r="C4" s="116" t="s">
        <v>575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34</v>
      </c>
      <c r="C9" s="31">
        <v>4009598</v>
      </c>
      <c r="D9" s="31">
        <v>2010</v>
      </c>
      <c r="E9" s="50">
        <v>44062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">
        <v>34</v>
      </c>
      <c r="C10" s="31">
        <v>4056940</v>
      </c>
      <c r="D10" s="31">
        <v>2014</v>
      </c>
      <c r="E10" s="50">
        <v>44062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30" t="s">
        <v>34</v>
      </c>
      <c r="C11" s="31">
        <v>4052013</v>
      </c>
      <c r="D11" s="31">
        <v>2014</v>
      </c>
      <c r="E11" s="50">
        <v>44062</v>
      </c>
      <c r="F11" s="31"/>
      <c r="G11" s="31"/>
      <c r="H11" s="31"/>
      <c r="I11" s="5"/>
      <c r="J11" s="5"/>
      <c r="K11" s="5"/>
      <c r="L11" s="5"/>
    </row>
    <row r="12" spans="1:12" x14ac:dyDescent="0.2">
      <c r="A12" s="30">
        <v>4</v>
      </c>
      <c r="B12" s="30" t="s">
        <v>34</v>
      </c>
      <c r="C12" s="31">
        <v>4046701</v>
      </c>
      <c r="D12" s="31">
        <v>2013</v>
      </c>
      <c r="E12" s="50">
        <v>44062</v>
      </c>
      <c r="F12" s="31"/>
      <c r="G12" s="31"/>
      <c r="H12" s="31"/>
      <c r="I12" s="5"/>
      <c r="J12" s="5"/>
      <c r="K12" s="5"/>
      <c r="L12" s="5"/>
    </row>
    <row r="13" spans="1:12" x14ac:dyDescent="0.2">
      <c r="A13" s="30">
        <v>5</v>
      </c>
      <c r="B13" s="30" t="s">
        <v>35</v>
      </c>
      <c r="C13" s="31">
        <v>704109039</v>
      </c>
      <c r="D13" s="31">
        <v>2004</v>
      </c>
      <c r="E13" s="50">
        <v>44062</v>
      </c>
      <c r="F13" s="31"/>
      <c r="G13" s="31"/>
      <c r="H13" s="31"/>
      <c r="I13" s="5"/>
      <c r="J13" s="5"/>
      <c r="K13" s="5"/>
      <c r="L13" s="5"/>
    </row>
    <row r="14" spans="1:12" x14ac:dyDescent="0.2">
      <c r="A14" s="30">
        <v>6</v>
      </c>
      <c r="B14" s="30" t="s">
        <v>112</v>
      </c>
      <c r="C14" s="31" t="s">
        <v>113</v>
      </c>
      <c r="D14" s="31">
        <v>2012</v>
      </c>
      <c r="E14" s="50">
        <v>44062</v>
      </c>
      <c r="F14" s="31"/>
      <c r="G14" s="31"/>
      <c r="H14" s="31"/>
      <c r="I14" s="5"/>
      <c r="J14" s="5"/>
      <c r="K14" s="5"/>
      <c r="L14" s="5"/>
    </row>
    <row r="15" spans="1:12" ht="12.75" customHeight="1" x14ac:dyDescent="0.2">
      <c r="A15" s="30">
        <v>7</v>
      </c>
      <c r="B15" s="30" t="s">
        <v>37</v>
      </c>
      <c r="C15" s="31" t="s">
        <v>593</v>
      </c>
      <c r="D15" s="31">
        <v>2007</v>
      </c>
      <c r="E15" s="50">
        <v>44062</v>
      </c>
      <c r="F15" s="31"/>
      <c r="G15" s="31"/>
      <c r="H15" s="31"/>
      <c r="I15" s="5"/>
      <c r="J15" s="5"/>
      <c r="K15" s="5"/>
      <c r="L15" s="5"/>
    </row>
    <row r="16" spans="1:12" x14ac:dyDescent="0.2">
      <c r="A16" s="30">
        <v>8</v>
      </c>
      <c r="B16" s="30" t="s">
        <v>36</v>
      </c>
      <c r="C16" s="31">
        <v>2590</v>
      </c>
      <c r="D16" s="31">
        <v>2008</v>
      </c>
      <c r="E16" s="50">
        <v>44062</v>
      </c>
      <c r="F16" s="31"/>
      <c r="G16" s="31"/>
      <c r="H16" s="31"/>
      <c r="I16" s="5"/>
      <c r="J16" s="5"/>
      <c r="K16" s="5"/>
      <c r="L16" s="5"/>
    </row>
    <row r="17" spans="1:12" x14ac:dyDescent="0.2">
      <c r="A17" s="30">
        <v>9</v>
      </c>
      <c r="B17" s="30" t="s">
        <v>36</v>
      </c>
      <c r="C17" s="31">
        <v>2591</v>
      </c>
      <c r="D17" s="31">
        <v>2008</v>
      </c>
      <c r="E17" s="50">
        <v>44062</v>
      </c>
      <c r="F17" s="31"/>
      <c r="G17" s="31"/>
      <c r="H17" s="31"/>
      <c r="I17" s="5"/>
      <c r="J17" s="5"/>
      <c r="K17" s="5"/>
      <c r="L17" s="5"/>
    </row>
    <row r="18" spans="1:12" x14ac:dyDescent="0.2">
      <c r="A18" s="30">
        <v>10</v>
      </c>
      <c r="B18" s="30" t="s">
        <v>36</v>
      </c>
      <c r="C18" s="31">
        <v>2592</v>
      </c>
      <c r="D18" s="31">
        <v>2008</v>
      </c>
      <c r="E18" s="50">
        <v>44062</v>
      </c>
      <c r="F18" s="31"/>
      <c r="G18" s="31"/>
      <c r="H18" s="31"/>
      <c r="I18" s="5"/>
      <c r="J18" s="5"/>
      <c r="K18" s="5"/>
      <c r="L18" s="5"/>
    </row>
    <row r="19" spans="1:12" x14ac:dyDescent="0.2">
      <c r="A19" s="30">
        <v>11</v>
      </c>
      <c r="B19" s="30" t="s">
        <v>36</v>
      </c>
      <c r="C19" s="31">
        <v>2593</v>
      </c>
      <c r="D19" s="31">
        <v>2008</v>
      </c>
      <c r="E19" s="50">
        <v>44062</v>
      </c>
      <c r="F19" s="31"/>
      <c r="G19" s="31"/>
      <c r="H19" s="31"/>
      <c r="I19" s="5"/>
      <c r="J19" s="5"/>
      <c r="K19" s="5"/>
      <c r="L19" s="5"/>
    </row>
    <row r="20" spans="1:12" ht="97.5" customHeight="1" x14ac:dyDescent="0.2">
      <c r="A20" s="33"/>
      <c r="B20" s="140" t="s">
        <v>665</v>
      </c>
      <c r="C20" s="141"/>
      <c r="D20" s="141"/>
      <c r="E20" s="141"/>
      <c r="F20" s="142"/>
      <c r="G20" s="31" t="s">
        <v>524</v>
      </c>
      <c r="H20" s="34"/>
      <c r="I20" s="5"/>
      <c r="J20" s="5"/>
      <c r="K20" s="5"/>
      <c r="L20" s="5"/>
    </row>
    <row r="21" spans="1:12" ht="54.75" customHeight="1" x14ac:dyDescent="0.2">
      <c r="A21" s="33"/>
      <c r="B21" s="133" t="s">
        <v>594</v>
      </c>
      <c r="C21" s="133"/>
      <c r="D21" s="133"/>
      <c r="E21" s="133"/>
      <c r="F21" s="133"/>
      <c r="G21" s="31" t="s">
        <v>524</v>
      </c>
      <c r="H21" s="34"/>
      <c r="I21" s="5"/>
      <c r="J21" s="5"/>
      <c r="K21" s="5"/>
      <c r="L21" s="5"/>
    </row>
    <row r="22" spans="1:12" ht="39" customHeight="1" x14ac:dyDescent="0.2">
      <c r="A22" s="33"/>
      <c r="B22" s="133" t="s">
        <v>631</v>
      </c>
      <c r="C22" s="133"/>
      <c r="D22" s="133"/>
      <c r="E22" s="133"/>
      <c r="F22" s="133"/>
      <c r="G22" s="31" t="s">
        <v>524</v>
      </c>
      <c r="H22" s="34"/>
      <c r="I22" s="5"/>
      <c r="J22" s="5"/>
      <c r="K22" s="5"/>
      <c r="L22" s="5"/>
    </row>
    <row r="23" spans="1:12" x14ac:dyDescent="0.2">
      <c r="A23" s="33"/>
      <c r="B23" s="33"/>
      <c r="C23" s="34"/>
      <c r="D23" s="34"/>
      <c r="E23" s="34"/>
      <c r="F23" s="34"/>
      <c r="G23" s="34"/>
      <c r="H23" s="34"/>
      <c r="I23" s="5"/>
      <c r="J23" s="5"/>
      <c r="K23" s="5"/>
      <c r="L23" s="5"/>
    </row>
    <row r="24" spans="1:12" x14ac:dyDescent="0.2">
      <c r="B24" s="3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">
      <c r="B25" s="3"/>
      <c r="C25" s="32"/>
      <c r="D25" s="5"/>
      <c r="E25" s="5"/>
      <c r="F25" s="5"/>
      <c r="G25" s="5"/>
      <c r="H25" s="5"/>
      <c r="I25" s="5"/>
      <c r="J25" s="5"/>
      <c r="K25" s="5"/>
      <c r="L25" s="5"/>
    </row>
    <row r="26" spans="1:12" x14ac:dyDescent="0.2">
      <c r="A26" s="119" t="s">
        <v>356</v>
      </c>
      <c r="B26" s="124"/>
      <c r="C26" s="125"/>
      <c r="D26" s="126"/>
      <c r="E26" s="127"/>
      <c r="F26" s="128" t="s">
        <v>334</v>
      </c>
      <c r="G26" s="129"/>
      <c r="H26" s="120"/>
      <c r="I26" s="130"/>
      <c r="J26" s="131"/>
      <c r="K26" s="132"/>
    </row>
    <row r="27" spans="1:12" x14ac:dyDescent="0.2">
      <c r="A27" s="119" t="s">
        <v>335</v>
      </c>
      <c r="B27" s="120"/>
      <c r="C27" s="121"/>
      <c r="D27" s="122"/>
      <c r="E27" s="122"/>
      <c r="F27" s="122"/>
      <c r="G27" s="122"/>
      <c r="H27" s="122"/>
      <c r="I27" s="122"/>
      <c r="J27" s="122"/>
      <c r="K27" s="123"/>
    </row>
  </sheetData>
  <mergeCells count="12">
    <mergeCell ref="A27:B27"/>
    <mergeCell ref="C27:K27"/>
    <mergeCell ref="B21:F21"/>
    <mergeCell ref="B22:F22"/>
    <mergeCell ref="A26:B26"/>
    <mergeCell ref="C26:E26"/>
    <mergeCell ref="F26:H26"/>
    <mergeCell ref="I26:K26"/>
    <mergeCell ref="A4:B4"/>
    <mergeCell ref="C4:K4"/>
    <mergeCell ref="B6:L6"/>
    <mergeCell ref="B20:F2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1"/>
  <dimension ref="A2:L18"/>
  <sheetViews>
    <sheetView view="pageLayout" topLeftCell="A13" zoomScaleNormal="100" zoomScaleSheetLayoutView="100" workbookViewId="0">
      <selection activeCell="H9" sqref="H9:H10"/>
    </sheetView>
  </sheetViews>
  <sheetFormatPr defaultRowHeight="12.75" x14ac:dyDescent="0.2"/>
  <cols>
    <col min="1" max="1" width="3.5703125" customWidth="1"/>
    <col min="2" max="2" width="36" customWidth="1"/>
    <col min="3" max="3" width="10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20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">
      <c r="A4" s="112" t="s">
        <v>326</v>
      </c>
      <c r="B4" s="113"/>
      <c r="C4" s="116" t="s">
        <v>63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642</v>
      </c>
      <c r="C9" s="31" t="s">
        <v>643</v>
      </c>
      <c r="D9" s="31">
        <v>2007</v>
      </c>
      <c r="E9" s="50">
        <v>44062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">
        <v>598</v>
      </c>
      <c r="C10" s="31">
        <v>5126193</v>
      </c>
      <c r="D10" s="31">
        <v>2006</v>
      </c>
      <c r="E10" s="50">
        <v>44062</v>
      </c>
      <c r="F10" s="31"/>
      <c r="G10" s="31"/>
      <c r="H10" s="31"/>
      <c r="I10" s="5"/>
      <c r="J10" s="5"/>
      <c r="K10" s="5"/>
      <c r="L10" s="5"/>
    </row>
    <row r="11" spans="1:12" ht="105" customHeight="1" x14ac:dyDescent="0.2">
      <c r="A11" s="33"/>
      <c r="B11" s="140" t="s">
        <v>587</v>
      </c>
      <c r="C11" s="141"/>
      <c r="D11" s="141"/>
      <c r="E11" s="141"/>
      <c r="F11" s="142"/>
      <c r="G11" s="31" t="s">
        <v>524</v>
      </c>
      <c r="H11" s="34"/>
      <c r="I11" s="5"/>
      <c r="J11" s="5"/>
      <c r="K11" s="5"/>
      <c r="L11" s="5"/>
    </row>
    <row r="12" spans="1:12" ht="52.5" customHeight="1" x14ac:dyDescent="0.2">
      <c r="A12" s="33"/>
      <c r="B12" s="133" t="s">
        <v>594</v>
      </c>
      <c r="C12" s="133"/>
      <c r="D12" s="133"/>
      <c r="E12" s="133"/>
      <c r="F12" s="133"/>
      <c r="G12" s="31" t="s">
        <v>524</v>
      </c>
      <c r="H12" s="34"/>
      <c r="I12" s="5"/>
      <c r="J12" s="5"/>
      <c r="K12" s="5"/>
      <c r="L12" s="5"/>
    </row>
    <row r="13" spans="1:12" ht="41.25" customHeight="1" x14ac:dyDescent="0.2">
      <c r="A13" s="33"/>
      <c r="B13" s="133" t="s">
        <v>632</v>
      </c>
      <c r="C13" s="133"/>
      <c r="D13" s="133"/>
      <c r="E13" s="133"/>
      <c r="F13" s="133"/>
      <c r="G13" s="31" t="s">
        <v>524</v>
      </c>
      <c r="H13" s="34"/>
      <c r="I13" s="5"/>
      <c r="J13" s="5"/>
      <c r="K13" s="5"/>
      <c r="L13" s="5"/>
    </row>
    <row r="14" spans="1:12" x14ac:dyDescent="0.2">
      <c r="A14" s="33"/>
      <c r="B14" s="33"/>
      <c r="C14" s="34"/>
      <c r="D14" s="34"/>
      <c r="E14" s="34"/>
      <c r="F14" s="34"/>
      <c r="G14" s="34"/>
      <c r="H14" s="34"/>
      <c r="I14" s="5"/>
      <c r="J14" s="5"/>
      <c r="K14" s="5"/>
      <c r="L14" s="5"/>
    </row>
    <row r="15" spans="1:12" x14ac:dyDescent="0.2">
      <c r="B15" s="3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">
      <c r="B16" s="3"/>
      <c r="C16" s="32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">
      <c r="A17" s="119" t="s">
        <v>356</v>
      </c>
      <c r="B17" s="124"/>
      <c r="C17" s="125">
        <f>SUM(H9:H10)</f>
        <v>0</v>
      </c>
      <c r="D17" s="126"/>
      <c r="E17" s="127"/>
      <c r="F17" s="128" t="s">
        <v>334</v>
      </c>
      <c r="G17" s="129"/>
      <c r="H17" s="120"/>
      <c r="I17" s="130"/>
      <c r="J17" s="131"/>
      <c r="K17" s="132"/>
    </row>
    <row r="18" spans="1:11" x14ac:dyDescent="0.2">
      <c r="A18" s="119" t="s">
        <v>335</v>
      </c>
      <c r="B18" s="120"/>
      <c r="C18" s="121"/>
      <c r="D18" s="122"/>
      <c r="E18" s="122"/>
      <c r="F18" s="122"/>
      <c r="G18" s="122"/>
      <c r="H18" s="122"/>
      <c r="I18" s="122"/>
      <c r="J18" s="122"/>
      <c r="K18" s="123"/>
    </row>
  </sheetData>
  <mergeCells count="12">
    <mergeCell ref="A18:B18"/>
    <mergeCell ref="C18:K18"/>
    <mergeCell ref="B12:F12"/>
    <mergeCell ref="B13:F13"/>
    <mergeCell ref="A17:B17"/>
    <mergeCell ref="C17:E17"/>
    <mergeCell ref="F17:H17"/>
    <mergeCell ref="I17:K17"/>
    <mergeCell ref="A4:B4"/>
    <mergeCell ref="C4:K4"/>
    <mergeCell ref="B6:L6"/>
    <mergeCell ref="B11:F11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2"/>
  <dimension ref="A2:L35"/>
  <sheetViews>
    <sheetView view="pageLayout" topLeftCell="A40" zoomScaleNormal="100" zoomScaleSheetLayoutView="100" workbookViewId="0">
      <selection activeCell="G20" sqref="G20"/>
    </sheetView>
  </sheetViews>
  <sheetFormatPr defaultRowHeight="12.75" x14ac:dyDescent="0.2"/>
  <cols>
    <col min="1" max="1" width="3.5703125" customWidth="1"/>
    <col min="2" max="2" width="36" customWidth="1"/>
    <col min="3" max="3" width="16.8554687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21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64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57" t="str">
        <f t="shared" ref="B9:B20" si="0">"Infusomat Space"</f>
        <v>Infusomat Space</v>
      </c>
      <c r="C9" s="65" t="str">
        <f>"29725"</f>
        <v>29725</v>
      </c>
      <c r="D9" s="65">
        <v>2008</v>
      </c>
      <c r="E9" s="65" t="str">
        <f>"2020-08-02"</f>
        <v>2020-08-02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57" t="str">
        <f t="shared" si="0"/>
        <v>Infusomat Space</v>
      </c>
      <c r="C10" s="65" t="str">
        <f>"51128"</f>
        <v>51128</v>
      </c>
      <c r="D10" s="65">
        <v>2008</v>
      </c>
      <c r="E10" s="65" t="str">
        <f>"2020-06-13"</f>
        <v>2020-06-13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57" t="str">
        <f t="shared" si="0"/>
        <v>Infusomat Space</v>
      </c>
      <c r="C11" s="65" t="str">
        <f>"137158"</f>
        <v>137158</v>
      </c>
      <c r="D11" s="65">
        <v>2011</v>
      </c>
      <c r="E11" s="65" t="str">
        <f>"2020-06-13"</f>
        <v>2020-06-13</v>
      </c>
      <c r="F11" s="31"/>
      <c r="G11" s="31"/>
      <c r="H11" s="31"/>
      <c r="I11" s="5"/>
      <c r="J11" s="5"/>
      <c r="K11" s="5"/>
      <c r="L11" s="5"/>
    </row>
    <row r="12" spans="1:12" x14ac:dyDescent="0.2">
      <c r="A12" s="30">
        <v>4</v>
      </c>
      <c r="B12" s="57" t="str">
        <f t="shared" si="0"/>
        <v>Infusomat Space</v>
      </c>
      <c r="C12" s="65" t="str">
        <f>"300117"</f>
        <v>300117</v>
      </c>
      <c r="D12" s="65">
        <v>2014</v>
      </c>
      <c r="E12" s="65" t="str">
        <f t="shared" ref="E12:E21" si="1">"2020-08-02"</f>
        <v>2020-08-02</v>
      </c>
      <c r="F12" s="31"/>
      <c r="G12" s="31"/>
      <c r="H12" s="31"/>
      <c r="I12" s="5"/>
      <c r="J12" s="5"/>
      <c r="K12" s="5"/>
      <c r="L12" s="5"/>
    </row>
    <row r="13" spans="1:12" x14ac:dyDescent="0.2">
      <c r="A13" s="30">
        <v>5</v>
      </c>
      <c r="B13" s="57" t="str">
        <f t="shared" si="0"/>
        <v>Infusomat Space</v>
      </c>
      <c r="C13" s="65" t="str">
        <f>"386818"</f>
        <v>386818</v>
      </c>
      <c r="D13" s="65">
        <v>2016</v>
      </c>
      <c r="E13" s="65" t="str">
        <f t="shared" si="1"/>
        <v>2020-08-02</v>
      </c>
      <c r="F13" s="31"/>
      <c r="G13" s="31"/>
      <c r="H13" s="31"/>
      <c r="I13" s="5"/>
      <c r="J13" s="5"/>
      <c r="K13" s="5"/>
      <c r="L13" s="5"/>
    </row>
    <row r="14" spans="1:12" x14ac:dyDescent="0.2">
      <c r="A14" s="30">
        <v>6</v>
      </c>
      <c r="B14" s="57" t="str">
        <f t="shared" si="0"/>
        <v>Infusomat Space</v>
      </c>
      <c r="C14" s="65" t="str">
        <f>"386836"</f>
        <v>386836</v>
      </c>
      <c r="D14" s="65">
        <v>2016</v>
      </c>
      <c r="E14" s="65" t="str">
        <f t="shared" si="1"/>
        <v>2020-08-02</v>
      </c>
      <c r="F14" s="31"/>
      <c r="G14" s="31"/>
      <c r="H14" s="31"/>
      <c r="I14" s="5"/>
      <c r="J14" s="5"/>
      <c r="K14" s="5"/>
      <c r="L14" s="5"/>
    </row>
    <row r="15" spans="1:12" x14ac:dyDescent="0.2">
      <c r="A15" s="30">
        <v>7</v>
      </c>
      <c r="B15" s="57" t="str">
        <f t="shared" si="0"/>
        <v>Infusomat Space</v>
      </c>
      <c r="C15" s="65" t="str">
        <f>"386853"</f>
        <v>386853</v>
      </c>
      <c r="D15" s="65">
        <v>2016</v>
      </c>
      <c r="E15" s="65" t="str">
        <f t="shared" si="1"/>
        <v>2020-08-02</v>
      </c>
      <c r="F15" s="31"/>
      <c r="G15" s="31"/>
      <c r="H15" s="31"/>
      <c r="I15" s="5"/>
      <c r="J15" s="5"/>
      <c r="K15" s="5"/>
      <c r="L15" s="5"/>
    </row>
    <row r="16" spans="1:12" x14ac:dyDescent="0.2">
      <c r="A16" s="30">
        <v>8</v>
      </c>
      <c r="B16" s="57" t="str">
        <f t="shared" si="0"/>
        <v>Infusomat Space</v>
      </c>
      <c r="C16" s="65" t="str">
        <f>"386936"</f>
        <v>386936</v>
      </c>
      <c r="D16" s="65">
        <v>2016</v>
      </c>
      <c r="E16" s="65" t="str">
        <f t="shared" si="1"/>
        <v>2020-08-02</v>
      </c>
      <c r="F16" s="31"/>
      <c r="G16" s="31"/>
      <c r="H16" s="31"/>
      <c r="I16" s="5"/>
      <c r="J16" s="5"/>
      <c r="K16" s="5"/>
      <c r="L16" s="5"/>
    </row>
    <row r="17" spans="1:12" x14ac:dyDescent="0.2">
      <c r="A17" s="30">
        <v>9</v>
      </c>
      <c r="B17" s="57" t="str">
        <f t="shared" si="0"/>
        <v>Infusomat Space</v>
      </c>
      <c r="C17" s="65" t="str">
        <f>"387003"</f>
        <v>387003</v>
      </c>
      <c r="D17" s="65">
        <v>2016</v>
      </c>
      <c r="E17" s="65" t="str">
        <f t="shared" si="1"/>
        <v>2020-08-02</v>
      </c>
      <c r="F17" s="31"/>
      <c r="G17" s="31"/>
      <c r="H17" s="31"/>
      <c r="I17" s="5"/>
      <c r="J17" s="5"/>
      <c r="K17" s="5"/>
      <c r="L17" s="5"/>
    </row>
    <row r="18" spans="1:12" x14ac:dyDescent="0.2">
      <c r="A18" s="30">
        <v>10</v>
      </c>
      <c r="B18" s="57" t="str">
        <f t="shared" si="0"/>
        <v>Infusomat Space</v>
      </c>
      <c r="C18" s="65" t="str">
        <f>"387025"</f>
        <v>387025</v>
      </c>
      <c r="D18" s="65">
        <v>2016</v>
      </c>
      <c r="E18" s="65" t="str">
        <f t="shared" si="1"/>
        <v>2020-08-02</v>
      </c>
      <c r="F18" s="31"/>
      <c r="G18" s="31"/>
      <c r="H18" s="31"/>
      <c r="I18" s="5"/>
      <c r="J18" s="5"/>
      <c r="K18" s="5"/>
      <c r="L18" s="5"/>
    </row>
    <row r="19" spans="1:12" x14ac:dyDescent="0.2">
      <c r="A19" s="30">
        <v>11</v>
      </c>
      <c r="B19" s="57" t="str">
        <f t="shared" si="0"/>
        <v>Infusomat Space</v>
      </c>
      <c r="C19" s="65" t="str">
        <f>"387027"</f>
        <v>387027</v>
      </c>
      <c r="D19" s="65">
        <v>2016</v>
      </c>
      <c r="E19" s="65" t="str">
        <f t="shared" si="1"/>
        <v>2020-08-02</v>
      </c>
      <c r="F19" s="31"/>
      <c r="G19" s="31"/>
      <c r="H19" s="31"/>
      <c r="I19" s="5"/>
      <c r="J19" s="5"/>
      <c r="K19" s="5"/>
      <c r="L19" s="5"/>
    </row>
    <row r="20" spans="1:12" x14ac:dyDescent="0.2">
      <c r="A20" s="30">
        <v>12</v>
      </c>
      <c r="B20" s="57" t="str">
        <f t="shared" si="0"/>
        <v>Infusomat Space</v>
      </c>
      <c r="C20" s="65" t="str">
        <f>"387035"</f>
        <v>387035</v>
      </c>
      <c r="D20" s="65">
        <v>2016</v>
      </c>
      <c r="E20" s="65" t="str">
        <f t="shared" si="1"/>
        <v>2020-08-02</v>
      </c>
      <c r="F20" s="31"/>
      <c r="G20" s="31"/>
      <c r="H20" s="31"/>
      <c r="I20" s="5"/>
      <c r="J20" s="5"/>
      <c r="K20" s="5"/>
      <c r="L20" s="5"/>
    </row>
    <row r="21" spans="1:12" x14ac:dyDescent="0.2">
      <c r="A21" s="30">
        <v>13</v>
      </c>
      <c r="B21" s="57" t="str">
        <f t="shared" ref="B21:B26" si="2">"Perfusor Space"</f>
        <v>Perfusor Space</v>
      </c>
      <c r="C21" s="65" t="str">
        <f>"155545"</f>
        <v>155545</v>
      </c>
      <c r="D21" s="65">
        <v>2011</v>
      </c>
      <c r="E21" s="65" t="str">
        <f t="shared" si="1"/>
        <v>2020-08-02</v>
      </c>
      <c r="F21" s="31"/>
      <c r="G21" s="31"/>
      <c r="H21" s="31"/>
      <c r="I21" s="5"/>
      <c r="J21" s="5"/>
      <c r="K21" s="5"/>
      <c r="L21" s="5"/>
    </row>
    <row r="22" spans="1:12" x14ac:dyDescent="0.2">
      <c r="A22" s="30">
        <v>14</v>
      </c>
      <c r="B22" s="57" t="str">
        <f t="shared" si="2"/>
        <v>Perfusor Space</v>
      </c>
      <c r="C22" s="65" t="str">
        <f>"246667"</f>
        <v>246667</v>
      </c>
      <c r="D22" s="65">
        <v>2014</v>
      </c>
      <c r="E22" s="65" t="str">
        <f>"2020-06-07"</f>
        <v>2020-06-07</v>
      </c>
      <c r="F22" s="31"/>
      <c r="G22" s="31"/>
      <c r="H22" s="31"/>
      <c r="I22" s="5"/>
      <c r="J22" s="5"/>
      <c r="K22" s="5"/>
      <c r="L22" s="5"/>
    </row>
    <row r="23" spans="1:12" x14ac:dyDescent="0.2">
      <c r="A23" s="30">
        <v>15</v>
      </c>
      <c r="B23" s="57" t="str">
        <f t="shared" si="2"/>
        <v>Perfusor Space</v>
      </c>
      <c r="C23" s="65" t="str">
        <f>"246693"</f>
        <v>246693</v>
      </c>
      <c r="D23" s="65">
        <v>2014</v>
      </c>
      <c r="E23" s="65" t="str">
        <f>"2020-08-02"</f>
        <v>2020-08-02</v>
      </c>
      <c r="F23" s="31"/>
      <c r="G23" s="31"/>
      <c r="H23" s="31"/>
      <c r="I23" s="5"/>
      <c r="J23" s="5"/>
      <c r="K23" s="5"/>
      <c r="L23" s="5"/>
    </row>
    <row r="24" spans="1:12" x14ac:dyDescent="0.2">
      <c r="A24" s="30">
        <v>16</v>
      </c>
      <c r="B24" s="57" t="str">
        <f t="shared" si="2"/>
        <v>Perfusor Space</v>
      </c>
      <c r="C24" s="65" t="str">
        <f>"246705"</f>
        <v>246705</v>
      </c>
      <c r="D24" s="65">
        <v>2014</v>
      </c>
      <c r="E24" s="65" t="str">
        <f>"2020-08-02"</f>
        <v>2020-08-02</v>
      </c>
      <c r="F24" s="31"/>
      <c r="G24" s="31"/>
      <c r="H24" s="31"/>
      <c r="I24" s="5"/>
      <c r="J24" s="5"/>
      <c r="K24" s="5"/>
      <c r="L24" s="5"/>
    </row>
    <row r="25" spans="1:12" x14ac:dyDescent="0.2">
      <c r="A25" s="30">
        <v>17</v>
      </c>
      <c r="B25" s="57" t="str">
        <f t="shared" si="2"/>
        <v>Perfusor Space</v>
      </c>
      <c r="C25" s="65" t="str">
        <f>"246757"</f>
        <v>246757</v>
      </c>
      <c r="D25" s="65">
        <v>2014</v>
      </c>
      <c r="E25" s="65" t="str">
        <f>"2020-08-02"</f>
        <v>2020-08-02</v>
      </c>
      <c r="F25" s="31"/>
      <c r="G25" s="31"/>
      <c r="H25" s="31"/>
      <c r="I25" s="5"/>
      <c r="J25" s="5"/>
      <c r="K25" s="5"/>
      <c r="L25" s="5"/>
    </row>
    <row r="26" spans="1:12" x14ac:dyDescent="0.2">
      <c r="A26" s="30">
        <v>18</v>
      </c>
      <c r="B26" s="57" t="str">
        <f t="shared" si="2"/>
        <v>Perfusor Space</v>
      </c>
      <c r="C26" s="65" t="str">
        <f>"246763"</f>
        <v>246763</v>
      </c>
      <c r="D26" s="65">
        <v>2014</v>
      </c>
      <c r="E26" s="65" t="str">
        <f>"2020-08-02"</f>
        <v>2020-08-02</v>
      </c>
      <c r="F26" s="31"/>
      <c r="G26" s="31"/>
      <c r="H26" s="31"/>
      <c r="I26" s="5"/>
      <c r="J26" s="5"/>
      <c r="K26" s="5"/>
      <c r="L26" s="5"/>
    </row>
    <row r="27" spans="1:12" x14ac:dyDescent="0.2">
      <c r="A27" s="30">
        <v>19</v>
      </c>
      <c r="B27" s="57" t="str">
        <f>"SpaceStation MRI"</f>
        <v>SpaceStation MRI</v>
      </c>
      <c r="C27" s="65" t="str">
        <f>"MIMSPA110207"</f>
        <v>MIMSPA110207</v>
      </c>
      <c r="D27" s="65">
        <v>2011</v>
      </c>
      <c r="E27" s="65" t="str">
        <f>"2020-08-12"</f>
        <v>2020-08-12</v>
      </c>
      <c r="F27" s="31"/>
      <c r="G27" s="31"/>
      <c r="H27" s="31"/>
      <c r="I27" s="5"/>
      <c r="J27" s="5"/>
      <c r="K27" s="5"/>
      <c r="L27" s="5"/>
    </row>
    <row r="28" spans="1:12" ht="105" customHeight="1" x14ac:dyDescent="0.2">
      <c r="A28" s="33"/>
      <c r="B28" s="140" t="s">
        <v>474</v>
      </c>
      <c r="C28" s="141"/>
      <c r="D28" s="141"/>
      <c r="E28" s="141"/>
      <c r="F28" s="142"/>
      <c r="G28" s="31" t="s">
        <v>524</v>
      </c>
      <c r="H28" s="34"/>
      <c r="I28" s="5"/>
      <c r="J28" s="5"/>
      <c r="K28" s="5"/>
      <c r="L28" s="5"/>
    </row>
    <row r="29" spans="1:12" ht="56.25" customHeight="1" x14ac:dyDescent="0.2">
      <c r="A29" s="33"/>
      <c r="B29" s="133" t="s">
        <v>594</v>
      </c>
      <c r="C29" s="133"/>
      <c r="D29" s="133"/>
      <c r="E29" s="133"/>
      <c r="F29" s="133"/>
      <c r="G29" s="31" t="s">
        <v>524</v>
      </c>
      <c r="H29" s="34"/>
      <c r="I29" s="5"/>
      <c r="J29" s="5"/>
      <c r="K29" s="5"/>
      <c r="L29" s="5"/>
    </row>
    <row r="30" spans="1:12" ht="44.25" customHeight="1" x14ac:dyDescent="0.2">
      <c r="A30" s="33"/>
      <c r="B30" s="110" t="s">
        <v>628</v>
      </c>
      <c r="C30" s="110"/>
      <c r="D30" s="110"/>
      <c r="E30" s="110"/>
      <c r="F30" s="110"/>
      <c r="G30" s="31" t="s">
        <v>524</v>
      </c>
      <c r="H30" s="34"/>
      <c r="I30" s="5"/>
      <c r="J30" s="5"/>
      <c r="K30" s="5"/>
      <c r="L30" s="5"/>
    </row>
    <row r="31" spans="1:12" x14ac:dyDescent="0.2">
      <c r="A31" s="33"/>
      <c r="B31" s="33"/>
      <c r="C31" s="34"/>
      <c r="D31" s="34"/>
      <c r="E31" s="34"/>
      <c r="F31" s="34"/>
      <c r="G31" s="34"/>
      <c r="H31" s="34"/>
      <c r="I31" s="5"/>
      <c r="J31" s="5"/>
      <c r="K31" s="5"/>
      <c r="L31" s="5"/>
    </row>
    <row r="32" spans="1:12" x14ac:dyDescent="0.2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 x14ac:dyDescent="0.2">
      <c r="B33" s="3"/>
      <c r="C33" s="32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">
      <c r="A34" s="119" t="s">
        <v>356</v>
      </c>
      <c r="B34" s="124"/>
      <c r="C34" s="125">
        <f>SUM(H9:H27)</f>
        <v>0</v>
      </c>
      <c r="D34" s="126"/>
      <c r="E34" s="127"/>
      <c r="F34" s="128" t="s">
        <v>334</v>
      </c>
      <c r="G34" s="129"/>
      <c r="H34" s="120"/>
      <c r="I34" s="130"/>
      <c r="J34" s="131"/>
      <c r="K34" s="132"/>
    </row>
    <row r="35" spans="1:12" x14ac:dyDescent="0.2">
      <c r="A35" s="119" t="s">
        <v>335</v>
      </c>
      <c r="B35" s="120"/>
      <c r="C35" s="121"/>
      <c r="D35" s="122"/>
      <c r="E35" s="122"/>
      <c r="F35" s="122"/>
      <c r="G35" s="122"/>
      <c r="H35" s="122"/>
      <c r="I35" s="122"/>
      <c r="J35" s="122"/>
      <c r="K35" s="123"/>
    </row>
  </sheetData>
  <mergeCells count="12">
    <mergeCell ref="A35:B35"/>
    <mergeCell ref="C35:K35"/>
    <mergeCell ref="B29:F29"/>
    <mergeCell ref="B30:F30"/>
    <mergeCell ref="A34:B34"/>
    <mergeCell ref="C34:E34"/>
    <mergeCell ref="F34:H34"/>
    <mergeCell ref="I34:K34"/>
    <mergeCell ref="A4:B4"/>
    <mergeCell ref="C4:K4"/>
    <mergeCell ref="B6:L6"/>
    <mergeCell ref="B28:F28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5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3">
    <pageSetUpPr fitToPage="1"/>
  </sheetPr>
  <dimension ref="A2:L20"/>
  <sheetViews>
    <sheetView view="pageLayout" topLeftCell="A13" zoomScaleNormal="100" zoomScaleSheetLayoutView="100" workbookViewId="0">
      <selection activeCell="H9" sqref="H9:H12"/>
    </sheetView>
  </sheetViews>
  <sheetFormatPr defaultRowHeight="12.75" x14ac:dyDescent="0.2"/>
  <cols>
    <col min="1" max="1" width="3.5703125" customWidth="1"/>
    <col min="2" max="2" width="36" customWidth="1"/>
    <col min="3" max="3" width="10.5703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190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48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548</v>
      </c>
      <c r="C9" s="31">
        <v>6421821</v>
      </c>
      <c r="D9" s="31">
        <v>2007</v>
      </c>
      <c r="E9" s="50">
        <v>44045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">
        <v>549</v>
      </c>
      <c r="C10" s="31">
        <v>431303</v>
      </c>
      <c r="D10" s="31">
        <v>2005</v>
      </c>
      <c r="E10" s="50">
        <v>44050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30" t="s">
        <v>189</v>
      </c>
      <c r="C11" s="31">
        <v>17926626</v>
      </c>
      <c r="D11" s="31">
        <v>2017</v>
      </c>
      <c r="E11" s="50">
        <v>44226</v>
      </c>
      <c r="F11" s="31"/>
      <c r="G11" s="31"/>
      <c r="H11" s="31"/>
      <c r="I11" s="5"/>
      <c r="J11" s="5"/>
      <c r="K11" s="5"/>
      <c r="L11" s="5"/>
    </row>
    <row r="12" spans="1:12" x14ac:dyDescent="0.2">
      <c r="A12" s="30">
        <v>4</v>
      </c>
      <c r="B12" s="64" t="s">
        <v>191</v>
      </c>
      <c r="C12" s="43" t="s">
        <v>192</v>
      </c>
      <c r="D12" s="43">
        <v>2017</v>
      </c>
      <c r="E12" s="56">
        <v>44238</v>
      </c>
      <c r="F12" s="31"/>
      <c r="G12" s="31"/>
      <c r="H12" s="31"/>
      <c r="I12" s="5"/>
      <c r="J12" s="5"/>
      <c r="K12" s="5"/>
      <c r="L12" s="5"/>
    </row>
    <row r="13" spans="1:12" ht="171.75" customHeight="1" x14ac:dyDescent="0.2">
      <c r="A13" s="33"/>
      <c r="B13" s="110" t="s">
        <v>202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</row>
    <row r="14" spans="1:12" ht="56.25" customHeight="1" x14ac:dyDescent="0.2">
      <c r="A14" s="33"/>
      <c r="B14" s="133" t="s">
        <v>594</v>
      </c>
      <c r="C14" s="133"/>
      <c r="D14" s="133"/>
      <c r="E14" s="133"/>
      <c r="F14" s="133"/>
      <c r="G14" s="31" t="s">
        <v>524</v>
      </c>
      <c r="H14" s="34"/>
      <c r="I14" s="5"/>
      <c r="J14" s="5"/>
      <c r="K14" s="5"/>
      <c r="L14" s="5"/>
    </row>
    <row r="15" spans="1:12" ht="38.25" customHeight="1" x14ac:dyDescent="0.2">
      <c r="A15" s="33"/>
      <c r="B15" s="133" t="s">
        <v>625</v>
      </c>
      <c r="C15" s="133"/>
      <c r="D15" s="133"/>
      <c r="E15" s="133"/>
      <c r="F15" s="133"/>
      <c r="G15" s="31" t="s">
        <v>524</v>
      </c>
      <c r="H15" s="34"/>
      <c r="I15" s="5"/>
      <c r="J15" s="5"/>
      <c r="K15" s="5"/>
      <c r="L15" s="5"/>
    </row>
    <row r="16" spans="1:12" x14ac:dyDescent="0.2">
      <c r="A16" s="33"/>
      <c r="B16" s="33"/>
      <c r="C16" s="34"/>
      <c r="D16" s="34"/>
      <c r="E16" s="34"/>
      <c r="F16" s="34"/>
      <c r="G16" s="34"/>
      <c r="H16" s="34"/>
      <c r="I16" s="5"/>
      <c r="J16" s="5"/>
      <c r="K16" s="5"/>
      <c r="L16" s="5"/>
    </row>
    <row r="17" spans="1:12" x14ac:dyDescent="0.2">
      <c r="B17" s="3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">
      <c r="B18" s="3"/>
      <c r="C18" s="32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">
      <c r="A19" s="119" t="s">
        <v>356</v>
      </c>
      <c r="B19" s="124"/>
      <c r="C19" s="125">
        <f>SUM(H9:H12)</f>
        <v>0</v>
      </c>
      <c r="D19" s="126"/>
      <c r="E19" s="127"/>
      <c r="F19" s="128" t="s">
        <v>334</v>
      </c>
      <c r="G19" s="129"/>
      <c r="H19" s="120"/>
      <c r="I19" s="130"/>
      <c r="J19" s="131"/>
      <c r="K19" s="132"/>
    </row>
    <row r="20" spans="1:12" x14ac:dyDescent="0.2">
      <c r="A20" s="119" t="s">
        <v>335</v>
      </c>
      <c r="B20" s="120"/>
      <c r="C20" s="121"/>
      <c r="D20" s="122"/>
      <c r="E20" s="122"/>
      <c r="F20" s="122"/>
      <c r="G20" s="122"/>
      <c r="H20" s="122"/>
      <c r="I20" s="122"/>
      <c r="J20" s="122"/>
      <c r="K20" s="123"/>
    </row>
  </sheetData>
  <mergeCells count="12">
    <mergeCell ref="A20:B20"/>
    <mergeCell ref="C20:K20"/>
    <mergeCell ref="B14:F14"/>
    <mergeCell ref="B15:F15"/>
    <mergeCell ref="A19:B19"/>
    <mergeCell ref="C19:E19"/>
    <mergeCell ref="F19:H19"/>
    <mergeCell ref="I19:K19"/>
    <mergeCell ref="A4:B4"/>
    <mergeCell ref="C4:K4"/>
    <mergeCell ref="B13:F13"/>
    <mergeCell ref="B6:K6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4"/>
  <dimension ref="A2:L17"/>
  <sheetViews>
    <sheetView view="pageLayout" topLeftCell="A13" zoomScaleNormal="100" zoomScaleSheetLayoutView="100" workbookViewId="0">
      <selection activeCell="H9" sqref="H9"/>
    </sheetView>
  </sheetViews>
  <sheetFormatPr defaultRowHeight="12.75" x14ac:dyDescent="0.2"/>
  <cols>
    <col min="1" max="1" width="3.5703125" customWidth="1"/>
    <col min="2" max="2" width="36" customWidth="1"/>
    <col min="3" max="3" width="11.42578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23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65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ht="38.25" x14ac:dyDescent="0.2">
      <c r="A9" s="30">
        <v>1</v>
      </c>
      <c r="B9" s="30" t="s">
        <v>644</v>
      </c>
      <c r="C9" s="31">
        <v>1042110034</v>
      </c>
      <c r="D9" s="31">
        <v>2012</v>
      </c>
      <c r="E9" s="31" t="s">
        <v>203</v>
      </c>
      <c r="F9" s="31"/>
      <c r="G9" s="31"/>
      <c r="H9" s="31"/>
      <c r="I9" s="5"/>
      <c r="J9" s="5"/>
      <c r="K9" s="5"/>
      <c r="L9" s="5"/>
    </row>
    <row r="10" spans="1:12" ht="116.25" customHeight="1" x14ac:dyDescent="0.2">
      <c r="A10" s="33"/>
      <c r="B10" s="110" t="s">
        <v>30</v>
      </c>
      <c r="C10" s="110"/>
      <c r="D10" s="110"/>
      <c r="E10" s="110"/>
      <c r="F10" s="110"/>
      <c r="G10" s="31" t="s">
        <v>524</v>
      </c>
      <c r="H10" s="34"/>
      <c r="I10" s="5"/>
      <c r="J10" s="5"/>
      <c r="K10" s="5"/>
      <c r="L10" s="5"/>
    </row>
    <row r="11" spans="1:12" ht="51.75" customHeight="1" x14ac:dyDescent="0.2">
      <c r="A11" s="33"/>
      <c r="B11" s="133" t="s">
        <v>594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  <c r="L11" s="5"/>
    </row>
    <row r="12" spans="1:12" ht="42" customHeight="1" x14ac:dyDescent="0.2">
      <c r="A12" s="33"/>
      <c r="B12" s="110" t="s">
        <v>628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  <c r="L12" s="5"/>
    </row>
    <row r="13" spans="1:12" x14ac:dyDescent="0.2">
      <c r="A13" s="33"/>
      <c r="B13" s="33"/>
      <c r="C13" s="34"/>
      <c r="D13" s="34"/>
      <c r="E13" s="34"/>
      <c r="F13" s="34"/>
      <c r="G13" s="34"/>
      <c r="H13" s="34"/>
      <c r="I13" s="5"/>
      <c r="J13" s="5"/>
      <c r="K13" s="5"/>
      <c r="L13" s="5"/>
    </row>
    <row r="14" spans="1:12" x14ac:dyDescent="0.2">
      <c r="B14" s="3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">
      <c r="A16" s="119" t="s">
        <v>356</v>
      </c>
      <c r="B16" s="124"/>
      <c r="C16" s="125">
        <f>SUM(H9)</f>
        <v>0</v>
      </c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1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</sheetData>
  <mergeCells count="12">
    <mergeCell ref="A17:B17"/>
    <mergeCell ref="C17:K17"/>
    <mergeCell ref="B11:F11"/>
    <mergeCell ref="B12:F12"/>
    <mergeCell ref="A16:B16"/>
    <mergeCell ref="C16:E16"/>
    <mergeCell ref="F16:H16"/>
    <mergeCell ref="I16:K16"/>
    <mergeCell ref="A4:B4"/>
    <mergeCell ref="C4:K4"/>
    <mergeCell ref="B6:L6"/>
    <mergeCell ref="B10:F10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5"/>
  <dimension ref="A2:L20"/>
  <sheetViews>
    <sheetView view="pageLayout" topLeftCell="A16" zoomScaleNormal="100" zoomScaleSheetLayoutView="100" workbookViewId="0">
      <selection activeCell="G37" sqref="G37"/>
    </sheetView>
  </sheetViews>
  <sheetFormatPr defaultRowHeight="12.75" x14ac:dyDescent="0.2"/>
  <cols>
    <col min="1" max="1" width="3.5703125" customWidth="1"/>
    <col min="2" max="2" width="36" customWidth="1"/>
    <col min="3" max="3" width="11.4257812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66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ht="38.25" x14ac:dyDescent="0.2">
      <c r="A9" s="30">
        <v>1</v>
      </c>
      <c r="B9" s="30" t="s">
        <v>645</v>
      </c>
      <c r="C9" s="31" t="s">
        <v>646</v>
      </c>
      <c r="D9" s="31">
        <v>2012</v>
      </c>
      <c r="E9" s="31" t="s">
        <v>204</v>
      </c>
      <c r="F9" s="31"/>
      <c r="G9" s="31"/>
      <c r="H9" s="31"/>
      <c r="I9" s="5"/>
      <c r="J9" s="5"/>
      <c r="K9" s="5"/>
      <c r="L9" s="5"/>
    </row>
    <row r="10" spans="1:12" ht="38.25" x14ac:dyDescent="0.2">
      <c r="A10" s="30">
        <v>2</v>
      </c>
      <c r="B10" s="30" t="s">
        <v>645</v>
      </c>
      <c r="C10" s="31" t="s">
        <v>647</v>
      </c>
      <c r="D10" s="31">
        <v>2012</v>
      </c>
      <c r="E10" s="31" t="s">
        <v>204</v>
      </c>
      <c r="F10" s="31"/>
      <c r="G10" s="31"/>
      <c r="H10" s="31"/>
      <c r="I10" s="5"/>
      <c r="J10" s="5"/>
      <c r="K10" s="5"/>
      <c r="L10" s="5"/>
    </row>
    <row r="11" spans="1:12" ht="25.5" x14ac:dyDescent="0.2">
      <c r="A11" s="30">
        <v>3</v>
      </c>
      <c r="B11" s="30" t="s">
        <v>109</v>
      </c>
      <c r="C11" s="31" t="s">
        <v>110</v>
      </c>
      <c r="D11" s="31">
        <v>2012</v>
      </c>
      <c r="E11" s="50">
        <v>44059</v>
      </c>
      <c r="F11" s="31"/>
      <c r="G11" s="31"/>
      <c r="H11" s="31"/>
      <c r="I11" s="5"/>
      <c r="J11" s="5"/>
      <c r="K11" s="5"/>
      <c r="L11" s="5"/>
    </row>
    <row r="12" spans="1:12" x14ac:dyDescent="0.2">
      <c r="A12" s="30">
        <v>4</v>
      </c>
      <c r="B12" s="30" t="s">
        <v>111</v>
      </c>
      <c r="C12" s="31" t="s">
        <v>669</v>
      </c>
      <c r="D12" s="31">
        <v>2012</v>
      </c>
      <c r="E12" s="50">
        <v>44193</v>
      </c>
      <c r="F12" s="31"/>
      <c r="G12" s="31"/>
      <c r="H12" s="31"/>
      <c r="I12" s="5"/>
      <c r="J12" s="5"/>
      <c r="K12" s="5"/>
      <c r="L12" s="5"/>
    </row>
    <row r="13" spans="1:12" ht="128.25" customHeight="1" x14ac:dyDescent="0.2">
      <c r="A13" s="33"/>
      <c r="B13" s="110" t="s">
        <v>649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</row>
    <row r="14" spans="1:12" ht="57" customHeight="1" x14ac:dyDescent="0.2">
      <c r="A14" s="33"/>
      <c r="B14" s="133" t="s">
        <v>594</v>
      </c>
      <c r="C14" s="133"/>
      <c r="D14" s="133"/>
      <c r="E14" s="133"/>
      <c r="F14" s="133"/>
      <c r="G14" s="31" t="s">
        <v>524</v>
      </c>
      <c r="H14" s="34"/>
      <c r="I14" s="5"/>
      <c r="J14" s="5"/>
      <c r="K14" s="5"/>
      <c r="L14" s="5"/>
    </row>
    <row r="15" spans="1:12" ht="45" customHeight="1" x14ac:dyDescent="0.2">
      <c r="A15" s="33"/>
      <c r="B15" s="110" t="s">
        <v>628</v>
      </c>
      <c r="C15" s="110"/>
      <c r="D15" s="110"/>
      <c r="E15" s="110"/>
      <c r="F15" s="110"/>
      <c r="G15" s="31" t="s">
        <v>524</v>
      </c>
      <c r="H15" s="34"/>
      <c r="I15" s="5"/>
      <c r="J15" s="5"/>
      <c r="K15" s="5"/>
      <c r="L15" s="5"/>
    </row>
    <row r="16" spans="1:12" x14ac:dyDescent="0.2">
      <c r="A16" s="33"/>
      <c r="B16" s="33"/>
      <c r="C16" s="34"/>
      <c r="D16" s="34"/>
      <c r="E16" s="34"/>
      <c r="F16" s="34"/>
      <c r="G16" s="34"/>
      <c r="H16" s="34"/>
      <c r="I16" s="5"/>
      <c r="J16" s="5"/>
      <c r="K16" s="5"/>
      <c r="L16" s="5"/>
    </row>
    <row r="17" spans="1:12" x14ac:dyDescent="0.2">
      <c r="B17" s="3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">
      <c r="B18" s="3"/>
      <c r="C18" s="32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">
      <c r="A19" s="119" t="s">
        <v>356</v>
      </c>
      <c r="B19" s="124"/>
      <c r="C19" s="125">
        <f>SUM(H9:H12)</f>
        <v>0</v>
      </c>
      <c r="D19" s="126"/>
      <c r="E19" s="127"/>
      <c r="F19" s="128" t="s">
        <v>334</v>
      </c>
      <c r="G19" s="129"/>
      <c r="H19" s="120"/>
      <c r="I19" s="130"/>
      <c r="J19" s="131"/>
      <c r="K19" s="132"/>
    </row>
    <row r="20" spans="1:12" x14ac:dyDescent="0.2">
      <c r="A20" s="119" t="s">
        <v>335</v>
      </c>
      <c r="B20" s="120"/>
      <c r="C20" s="121"/>
      <c r="D20" s="122"/>
      <c r="E20" s="122"/>
      <c r="F20" s="122"/>
      <c r="G20" s="122"/>
      <c r="H20" s="122"/>
      <c r="I20" s="122"/>
      <c r="J20" s="122"/>
      <c r="K20" s="123"/>
    </row>
  </sheetData>
  <mergeCells count="12">
    <mergeCell ref="A4:B4"/>
    <mergeCell ref="C4:K4"/>
    <mergeCell ref="B6:L6"/>
    <mergeCell ref="B13:F13"/>
    <mergeCell ref="A20:B20"/>
    <mergeCell ref="C20:K20"/>
    <mergeCell ref="B14:F14"/>
    <mergeCell ref="B15:F15"/>
    <mergeCell ref="A19:B19"/>
    <mergeCell ref="C19:E19"/>
    <mergeCell ref="F19:H19"/>
    <mergeCell ref="I19:K19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6"/>
  <dimension ref="A2:L22"/>
  <sheetViews>
    <sheetView view="pageLayout" topLeftCell="A14" zoomScaleNormal="100" zoomScaleSheetLayoutView="100" workbookViewId="0">
      <selection activeCell="C21" sqref="C21:E21"/>
    </sheetView>
  </sheetViews>
  <sheetFormatPr defaultRowHeight="12.75" x14ac:dyDescent="0.2"/>
  <cols>
    <col min="1" max="1" width="3.5703125" customWidth="1"/>
    <col min="2" max="2" width="36" customWidth="1"/>
    <col min="3" max="3" width="10" bestFit="1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25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">
      <c r="A4" s="112" t="s">
        <v>326</v>
      </c>
      <c r="B4" s="113"/>
      <c r="C4" s="116" t="s">
        <v>67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5.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38</v>
      </c>
      <c r="C9" s="31">
        <v>74358056</v>
      </c>
      <c r="D9" s="31">
        <v>2011</v>
      </c>
      <c r="E9" s="50">
        <v>44038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">
        <v>38</v>
      </c>
      <c r="C10" s="31">
        <v>74358057</v>
      </c>
      <c r="D10" s="31">
        <v>2011</v>
      </c>
      <c r="E10" s="50">
        <v>44038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30" t="s">
        <v>41</v>
      </c>
      <c r="C11" s="31">
        <v>74329616</v>
      </c>
      <c r="D11" s="31">
        <v>2007</v>
      </c>
      <c r="E11" s="50">
        <v>44038</v>
      </c>
      <c r="F11" s="31"/>
      <c r="G11" s="31"/>
      <c r="H11" s="31"/>
      <c r="I11" s="5"/>
      <c r="J11" s="5"/>
      <c r="K11" s="5"/>
      <c r="L11" s="5"/>
    </row>
    <row r="12" spans="1:12" x14ac:dyDescent="0.2">
      <c r="A12" s="30">
        <v>4</v>
      </c>
      <c r="B12" s="30" t="s">
        <v>39</v>
      </c>
      <c r="C12" s="31">
        <v>40</v>
      </c>
      <c r="D12" s="31">
        <v>2012</v>
      </c>
      <c r="E12" s="50">
        <v>44038</v>
      </c>
      <c r="F12" s="31"/>
      <c r="G12" s="31"/>
      <c r="H12" s="31"/>
      <c r="I12" s="5"/>
      <c r="J12" s="5"/>
      <c r="K12" s="5"/>
      <c r="L12" s="5"/>
    </row>
    <row r="13" spans="1:12" x14ac:dyDescent="0.2">
      <c r="A13" s="30">
        <v>5</v>
      </c>
      <c r="B13" s="30" t="s">
        <v>40</v>
      </c>
      <c r="C13" s="31">
        <v>453525</v>
      </c>
      <c r="D13" s="31">
        <v>2012</v>
      </c>
      <c r="E13" s="50">
        <v>44038</v>
      </c>
      <c r="F13" s="31"/>
      <c r="G13" s="31"/>
      <c r="H13" s="31"/>
      <c r="I13" s="5"/>
      <c r="J13" s="5"/>
      <c r="K13" s="5"/>
      <c r="L13" s="5"/>
    </row>
    <row r="14" spans="1:12" x14ac:dyDescent="0.2">
      <c r="A14" s="30">
        <v>6</v>
      </c>
      <c r="B14" s="30" t="s">
        <v>277</v>
      </c>
      <c r="C14" s="44" t="s">
        <v>278</v>
      </c>
      <c r="D14" s="43">
        <v>2013</v>
      </c>
      <c r="E14" s="50">
        <v>44038</v>
      </c>
      <c r="F14" s="31"/>
      <c r="G14" s="31"/>
      <c r="H14" s="31"/>
      <c r="I14" s="5"/>
      <c r="J14" s="5"/>
      <c r="K14" s="5"/>
      <c r="L14" s="5"/>
    </row>
    <row r="15" spans="1:12" ht="171" customHeight="1" x14ac:dyDescent="0.2">
      <c r="A15" s="33"/>
      <c r="B15" s="143" t="s">
        <v>294</v>
      </c>
      <c r="C15" s="144"/>
      <c r="D15" s="144"/>
      <c r="E15" s="144"/>
      <c r="F15" s="145"/>
      <c r="G15" s="37" t="s">
        <v>524</v>
      </c>
      <c r="H15" s="34"/>
      <c r="I15" s="5"/>
      <c r="J15" s="5"/>
      <c r="K15" s="5"/>
      <c r="L15" s="5"/>
    </row>
    <row r="16" spans="1:12" ht="54" customHeight="1" x14ac:dyDescent="0.2">
      <c r="A16" s="33"/>
      <c r="B16" s="133" t="s">
        <v>594</v>
      </c>
      <c r="C16" s="133"/>
      <c r="D16" s="133"/>
      <c r="E16" s="133"/>
      <c r="F16" s="133"/>
      <c r="G16" s="31" t="s">
        <v>524</v>
      </c>
      <c r="H16" s="34"/>
      <c r="I16" s="5"/>
      <c r="J16" s="5"/>
      <c r="K16" s="5"/>
      <c r="L16" s="5"/>
    </row>
    <row r="17" spans="1:12" ht="39" customHeight="1" x14ac:dyDescent="0.2">
      <c r="A17" s="33"/>
      <c r="B17" s="133" t="s">
        <v>633</v>
      </c>
      <c r="C17" s="133"/>
      <c r="D17" s="133"/>
      <c r="E17" s="133"/>
      <c r="F17" s="133"/>
      <c r="G17" s="31" t="s">
        <v>524</v>
      </c>
      <c r="H17" s="34"/>
      <c r="I17" s="5"/>
      <c r="J17" s="5"/>
      <c r="K17" s="5"/>
      <c r="L17" s="5"/>
    </row>
    <row r="18" spans="1:12" x14ac:dyDescent="0.2">
      <c r="A18" s="33"/>
      <c r="B18" s="33"/>
      <c r="C18" s="34"/>
      <c r="D18" s="34"/>
      <c r="E18" s="34"/>
      <c r="F18" s="34"/>
      <c r="G18" s="34"/>
      <c r="H18" s="34"/>
      <c r="I18" s="5"/>
      <c r="J18" s="5"/>
      <c r="K18" s="5"/>
      <c r="L18" s="5"/>
    </row>
    <row r="19" spans="1:12" x14ac:dyDescent="0.2">
      <c r="B19" s="3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">
      <c r="B20" s="3"/>
      <c r="C20" s="32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">
      <c r="A21" s="119" t="s">
        <v>356</v>
      </c>
      <c r="B21" s="124"/>
      <c r="C21" s="125"/>
      <c r="D21" s="126"/>
      <c r="E21" s="127"/>
      <c r="F21" s="128" t="s">
        <v>334</v>
      </c>
      <c r="G21" s="129"/>
      <c r="H21" s="120"/>
      <c r="I21" s="130"/>
      <c r="J21" s="131"/>
      <c r="K21" s="132"/>
    </row>
    <row r="22" spans="1:12" x14ac:dyDescent="0.2">
      <c r="A22" s="119" t="s">
        <v>335</v>
      </c>
      <c r="B22" s="120"/>
      <c r="C22" s="121"/>
      <c r="D22" s="122"/>
      <c r="E22" s="122"/>
      <c r="F22" s="122"/>
      <c r="G22" s="122"/>
      <c r="H22" s="122"/>
      <c r="I22" s="122"/>
      <c r="J22" s="122"/>
      <c r="K22" s="123"/>
    </row>
  </sheetData>
  <mergeCells count="12">
    <mergeCell ref="A22:B22"/>
    <mergeCell ref="C22:K22"/>
    <mergeCell ref="B16:F16"/>
    <mergeCell ref="B17:F17"/>
    <mergeCell ref="A21:B21"/>
    <mergeCell ref="C21:E21"/>
    <mergeCell ref="F21:H21"/>
    <mergeCell ref="I21:K21"/>
    <mergeCell ref="A4:B4"/>
    <mergeCell ref="C4:K4"/>
    <mergeCell ref="B6:L6"/>
    <mergeCell ref="B15:F15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7"/>
  <dimension ref="A2:L20"/>
  <sheetViews>
    <sheetView view="pageLayout" topLeftCell="A16" zoomScaleNormal="100" zoomScaleSheetLayoutView="100" workbookViewId="0">
      <selection activeCell="H9" sqref="H9:H14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26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68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650</v>
      </c>
      <c r="C9" s="31">
        <v>1013080210</v>
      </c>
      <c r="D9" s="31">
        <v>2008</v>
      </c>
      <c r="E9" s="50">
        <v>44157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">
        <v>650</v>
      </c>
      <c r="C10" s="31">
        <v>1013100367</v>
      </c>
      <c r="D10" s="31">
        <v>2010</v>
      </c>
      <c r="E10" s="50">
        <v>44157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30" t="s">
        <v>650</v>
      </c>
      <c r="C11" s="31">
        <v>1013100368</v>
      </c>
      <c r="D11" s="31">
        <v>2010</v>
      </c>
      <c r="E11" s="50">
        <v>44157</v>
      </c>
      <c r="F11" s="31"/>
      <c r="G11" s="31"/>
      <c r="H11" s="31"/>
      <c r="I11" s="5"/>
      <c r="J11" s="5"/>
      <c r="K11" s="5"/>
      <c r="L11" s="5"/>
    </row>
    <row r="12" spans="1:12" x14ac:dyDescent="0.2">
      <c r="A12" s="30">
        <v>4</v>
      </c>
      <c r="B12" s="30" t="s">
        <v>651</v>
      </c>
      <c r="C12" s="31" t="s">
        <v>652</v>
      </c>
      <c r="D12" s="31">
        <v>2006</v>
      </c>
      <c r="E12" s="50">
        <v>44157</v>
      </c>
      <c r="F12" s="31"/>
      <c r="G12" s="31"/>
      <c r="H12" s="31"/>
      <c r="I12" s="5"/>
      <c r="J12" s="5"/>
      <c r="K12" s="5"/>
      <c r="L12" s="5"/>
    </row>
    <row r="13" spans="1:12" x14ac:dyDescent="0.2">
      <c r="A13" s="30">
        <v>5</v>
      </c>
      <c r="B13" s="30" t="s">
        <v>653</v>
      </c>
      <c r="C13" s="38" t="s">
        <v>654</v>
      </c>
      <c r="D13" s="31">
        <v>2006</v>
      </c>
      <c r="E13" s="50">
        <v>44157</v>
      </c>
      <c r="F13" s="31"/>
      <c r="G13" s="31"/>
      <c r="H13" s="31"/>
      <c r="I13" s="5"/>
      <c r="J13" s="5"/>
      <c r="K13" s="5"/>
      <c r="L13" s="5"/>
    </row>
    <row r="14" spans="1:12" x14ac:dyDescent="0.2">
      <c r="A14" s="30">
        <v>6</v>
      </c>
      <c r="B14" s="30" t="s">
        <v>309</v>
      </c>
      <c r="C14" s="47" t="s">
        <v>301</v>
      </c>
      <c r="D14" s="31">
        <v>2017</v>
      </c>
      <c r="E14" s="50">
        <v>44157</v>
      </c>
      <c r="F14" s="31"/>
      <c r="G14" s="31"/>
      <c r="H14" s="31"/>
      <c r="I14" s="5"/>
      <c r="J14" s="5"/>
      <c r="K14" s="5"/>
      <c r="L14" s="5"/>
    </row>
    <row r="15" spans="1:12" ht="199.5" customHeight="1" x14ac:dyDescent="0.2">
      <c r="A15" s="33"/>
      <c r="B15" s="138" t="s">
        <v>494</v>
      </c>
      <c r="C15" s="138"/>
      <c r="D15" s="138"/>
      <c r="E15" s="138"/>
      <c r="F15" s="138"/>
      <c r="G15" s="37" t="s">
        <v>524</v>
      </c>
      <c r="H15" s="34"/>
      <c r="I15" s="5"/>
      <c r="J15" s="5"/>
      <c r="K15" s="5"/>
      <c r="L15" s="5"/>
    </row>
    <row r="16" spans="1:12" ht="57" customHeight="1" x14ac:dyDescent="0.2">
      <c r="A16" s="33"/>
      <c r="B16" s="110" t="s">
        <v>594</v>
      </c>
      <c r="C16" s="110"/>
      <c r="D16" s="110"/>
      <c r="E16" s="110"/>
      <c r="F16" s="110"/>
      <c r="G16" s="31" t="s">
        <v>524</v>
      </c>
      <c r="H16" s="34"/>
      <c r="I16" s="5"/>
      <c r="J16" s="5"/>
      <c r="K16" s="5"/>
      <c r="L16" s="5"/>
    </row>
    <row r="17" spans="1:12" ht="44.25" customHeight="1" x14ac:dyDescent="0.2">
      <c r="B17" s="110" t="s">
        <v>628</v>
      </c>
      <c r="C17" s="110"/>
      <c r="D17" s="110"/>
      <c r="E17" s="110"/>
      <c r="F17" s="110"/>
      <c r="G17" s="31" t="s">
        <v>524</v>
      </c>
      <c r="H17" s="5"/>
      <c r="I17" s="5"/>
      <c r="J17" s="5"/>
      <c r="K17" s="5"/>
      <c r="L17" s="5"/>
    </row>
    <row r="18" spans="1:12" x14ac:dyDescent="0.2">
      <c r="B18" s="3"/>
      <c r="C18" s="32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">
      <c r="A19" s="119" t="s">
        <v>356</v>
      </c>
      <c r="B19" s="124"/>
      <c r="C19" s="125">
        <f>SUM(H9:H14)</f>
        <v>0</v>
      </c>
      <c r="D19" s="126"/>
      <c r="E19" s="127"/>
      <c r="F19" s="128" t="s">
        <v>334</v>
      </c>
      <c r="G19" s="129"/>
      <c r="H19" s="120"/>
      <c r="I19" s="130"/>
      <c r="J19" s="131"/>
      <c r="K19" s="132"/>
    </row>
    <row r="20" spans="1:12" x14ac:dyDescent="0.2">
      <c r="A20" s="119" t="s">
        <v>335</v>
      </c>
      <c r="B20" s="120"/>
      <c r="C20" s="121"/>
      <c r="D20" s="122"/>
      <c r="E20" s="122"/>
      <c r="F20" s="122"/>
      <c r="G20" s="122"/>
      <c r="H20" s="122"/>
      <c r="I20" s="122"/>
      <c r="J20" s="122"/>
      <c r="K20" s="123"/>
    </row>
  </sheetData>
  <mergeCells count="12">
    <mergeCell ref="A20:B20"/>
    <mergeCell ref="C20:K20"/>
    <mergeCell ref="B16:F16"/>
    <mergeCell ref="B17:F17"/>
    <mergeCell ref="A19:B19"/>
    <mergeCell ref="C19:E19"/>
    <mergeCell ref="F19:H19"/>
    <mergeCell ref="I19:K19"/>
    <mergeCell ref="A4:B4"/>
    <mergeCell ref="C4:K4"/>
    <mergeCell ref="B6:L6"/>
    <mergeCell ref="B15:F15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8"/>
  <dimension ref="A2:L17"/>
  <sheetViews>
    <sheetView view="pageLayout" topLeftCell="A16" zoomScaleNormal="100" zoomScaleSheetLayoutView="100" workbookViewId="0">
      <selection activeCell="H9" sqref="H9:H11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5.28515625" customWidth="1"/>
    <col min="12" max="12" width="14" customWidth="1"/>
  </cols>
  <sheetData>
    <row r="2" spans="1:12" x14ac:dyDescent="0.2">
      <c r="B2" s="6" t="s">
        <v>128</v>
      </c>
      <c r="C2" s="24">
        <v>27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85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7"/>
      <c r="D6" s="137"/>
      <c r="E6" s="137"/>
      <c r="F6" s="137"/>
      <c r="G6" s="137"/>
      <c r="H6" s="137"/>
      <c r="I6" s="137"/>
      <c r="J6" s="137"/>
      <c r="K6" s="137"/>
      <c r="L6" s="17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516</v>
      </c>
      <c r="C9" s="31">
        <v>30070</v>
      </c>
      <c r="D9" s="31">
        <v>2015</v>
      </c>
      <c r="E9" s="50">
        <v>44170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">
        <v>517</v>
      </c>
      <c r="C10" s="31">
        <v>5264</v>
      </c>
      <c r="D10" s="31">
        <v>2015</v>
      </c>
      <c r="E10" s="50">
        <v>44171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30" t="s">
        <v>666</v>
      </c>
      <c r="C11" s="31">
        <v>1248</v>
      </c>
      <c r="D11" s="31">
        <v>2005</v>
      </c>
      <c r="E11" s="50">
        <v>44006</v>
      </c>
      <c r="F11" s="31"/>
      <c r="G11" s="31"/>
      <c r="H11" s="31"/>
      <c r="I11" s="5"/>
      <c r="J11" s="5"/>
      <c r="K11" s="5"/>
      <c r="L11" s="5"/>
    </row>
    <row r="12" spans="1:12" ht="118.5" customHeight="1" x14ac:dyDescent="0.2">
      <c r="A12" s="33"/>
      <c r="B12" s="110" t="s">
        <v>518</v>
      </c>
      <c r="C12" s="110"/>
      <c r="D12" s="110"/>
      <c r="E12" s="110"/>
      <c r="F12" s="110"/>
      <c r="G12" s="37" t="s">
        <v>524</v>
      </c>
      <c r="H12" s="34"/>
      <c r="I12" s="5"/>
      <c r="J12" s="5"/>
      <c r="K12" s="5"/>
      <c r="L12" s="5"/>
    </row>
    <row r="13" spans="1:12" ht="60" customHeight="1" x14ac:dyDescent="0.2">
      <c r="A13" s="33"/>
      <c r="B13" s="110" t="s">
        <v>594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</row>
    <row r="14" spans="1:12" ht="41.25" customHeight="1" x14ac:dyDescent="0.2">
      <c r="B14" s="110" t="s">
        <v>628</v>
      </c>
      <c r="C14" s="110"/>
      <c r="D14" s="110"/>
      <c r="E14" s="110"/>
      <c r="F14" s="110"/>
      <c r="G14" s="31" t="s">
        <v>524</v>
      </c>
      <c r="H14" s="5"/>
      <c r="I14" s="5"/>
      <c r="J14" s="5"/>
      <c r="K14" s="5"/>
      <c r="L14" s="5"/>
    </row>
    <row r="15" spans="1:12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">
      <c r="A16" s="119" t="s">
        <v>356</v>
      </c>
      <c r="B16" s="124"/>
      <c r="C16" s="125">
        <f>SUM(H9:H11)</f>
        <v>0</v>
      </c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1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</sheetData>
  <mergeCells count="12">
    <mergeCell ref="A17:B17"/>
    <mergeCell ref="C17:K17"/>
    <mergeCell ref="B13:F13"/>
    <mergeCell ref="B14:F14"/>
    <mergeCell ref="A16:B16"/>
    <mergeCell ref="C16:E16"/>
    <mergeCell ref="F16:H16"/>
    <mergeCell ref="I16:K16"/>
    <mergeCell ref="A4:B4"/>
    <mergeCell ref="C4:K4"/>
    <mergeCell ref="B12:F12"/>
    <mergeCell ref="B6:K6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9"/>
  <dimension ref="A2:L17"/>
  <sheetViews>
    <sheetView view="pageLayout" topLeftCell="A10" zoomScaleNormal="100" zoomScaleSheetLayoutView="100" workbookViewId="0">
      <selection activeCell="H9" sqref="H9:H11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6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535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ht="38.25" x14ac:dyDescent="0.2">
      <c r="A9" s="30">
        <v>1</v>
      </c>
      <c r="B9" s="40" t="s">
        <v>668</v>
      </c>
      <c r="C9" s="31" t="s">
        <v>615</v>
      </c>
      <c r="D9" s="31">
        <v>2015</v>
      </c>
      <c r="E9" s="31" t="s">
        <v>448</v>
      </c>
      <c r="F9" s="31"/>
      <c r="G9" s="31"/>
      <c r="H9" s="31"/>
      <c r="I9" s="5"/>
      <c r="J9" s="5"/>
      <c r="K9" s="5"/>
      <c r="L9" s="5"/>
    </row>
    <row r="10" spans="1:12" ht="38.25" x14ac:dyDescent="0.2">
      <c r="A10" s="30">
        <v>2</v>
      </c>
      <c r="B10" s="40" t="s">
        <v>668</v>
      </c>
      <c r="C10" s="31" t="s">
        <v>447</v>
      </c>
      <c r="D10" s="31">
        <v>2009</v>
      </c>
      <c r="E10" s="31" t="s">
        <v>449</v>
      </c>
      <c r="F10" s="31"/>
      <c r="G10" s="31"/>
      <c r="H10" s="31"/>
      <c r="I10" s="5"/>
      <c r="J10" s="5"/>
      <c r="K10" s="5"/>
      <c r="L10" s="5"/>
    </row>
    <row r="11" spans="1:12" ht="25.5" x14ac:dyDescent="0.2">
      <c r="A11" s="30">
        <v>3</v>
      </c>
      <c r="B11" s="40" t="s">
        <v>255</v>
      </c>
      <c r="C11" s="31" t="s">
        <v>272</v>
      </c>
      <c r="D11" s="31">
        <v>2014</v>
      </c>
      <c r="E11" s="50">
        <v>44143</v>
      </c>
      <c r="F11" s="31"/>
      <c r="G11" s="31"/>
      <c r="H11" s="31"/>
      <c r="I11" s="5"/>
      <c r="J11" s="5"/>
      <c r="K11" s="5"/>
      <c r="L11" s="5"/>
    </row>
    <row r="12" spans="1:12" ht="108" customHeight="1" x14ac:dyDescent="0.2">
      <c r="A12" s="33"/>
      <c r="B12" s="110" t="s">
        <v>665</v>
      </c>
      <c r="C12" s="110"/>
      <c r="D12" s="110"/>
      <c r="E12" s="110"/>
      <c r="F12" s="110"/>
      <c r="G12" s="37" t="s">
        <v>524</v>
      </c>
      <c r="H12" s="34"/>
      <c r="I12" s="5"/>
      <c r="J12" s="5"/>
      <c r="K12" s="5"/>
      <c r="L12" s="5"/>
    </row>
    <row r="13" spans="1:12" ht="56.25" customHeight="1" x14ac:dyDescent="0.2">
      <c r="A13" s="33"/>
      <c r="B13" s="110" t="s">
        <v>594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  <c r="L13" s="5"/>
    </row>
    <row r="14" spans="1:12" ht="42.75" customHeight="1" x14ac:dyDescent="0.2">
      <c r="B14" s="110" t="s">
        <v>628</v>
      </c>
      <c r="C14" s="110"/>
      <c r="D14" s="110"/>
      <c r="E14" s="110"/>
      <c r="F14" s="110"/>
      <c r="G14" s="31" t="s">
        <v>524</v>
      </c>
      <c r="H14" s="5"/>
      <c r="I14" s="5"/>
      <c r="J14" s="5"/>
      <c r="K14" s="5"/>
      <c r="L14" s="5"/>
    </row>
    <row r="15" spans="1:12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">
      <c r="A16" s="119" t="s">
        <v>356</v>
      </c>
      <c r="B16" s="124"/>
      <c r="C16" s="125">
        <f>SUM(H9:H11)</f>
        <v>0</v>
      </c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1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</sheetData>
  <mergeCells count="12">
    <mergeCell ref="A17:B17"/>
    <mergeCell ref="C17:K17"/>
    <mergeCell ref="B13:F13"/>
    <mergeCell ref="B14:F14"/>
    <mergeCell ref="A16:B16"/>
    <mergeCell ref="C16:E16"/>
    <mergeCell ref="F16:H16"/>
    <mergeCell ref="I16:K16"/>
    <mergeCell ref="A4:B4"/>
    <mergeCell ref="C4:K4"/>
    <mergeCell ref="B6:L6"/>
    <mergeCell ref="B12:F12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0"/>
  <dimension ref="A2:L19"/>
  <sheetViews>
    <sheetView view="pageLayout" topLeftCell="A16" zoomScaleNormal="100" zoomScaleSheetLayoutView="100" workbookViewId="0">
      <selection activeCell="A10" sqref="A10:A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29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69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ht="25.5" x14ac:dyDescent="0.2">
      <c r="A9" s="30">
        <v>1</v>
      </c>
      <c r="B9" s="36" t="s">
        <v>103</v>
      </c>
      <c r="C9" s="31" t="s">
        <v>100</v>
      </c>
      <c r="D9" s="31">
        <v>2006</v>
      </c>
      <c r="E9" s="50">
        <v>44171</v>
      </c>
      <c r="F9" s="31"/>
      <c r="G9" s="31"/>
      <c r="H9" s="31"/>
      <c r="I9" s="5"/>
      <c r="J9" s="5"/>
      <c r="K9" s="5"/>
      <c r="L9" s="5"/>
    </row>
    <row r="10" spans="1:12" ht="25.5" x14ac:dyDescent="0.2">
      <c r="A10" s="30">
        <v>2</v>
      </c>
      <c r="B10" s="36" t="s">
        <v>103</v>
      </c>
      <c r="C10" s="31" t="s">
        <v>101</v>
      </c>
      <c r="D10" s="31">
        <v>2006</v>
      </c>
      <c r="E10" s="50">
        <v>44171</v>
      </c>
      <c r="F10" s="31"/>
      <c r="G10" s="31"/>
      <c r="H10" s="31"/>
      <c r="I10" s="5"/>
      <c r="J10" s="5"/>
      <c r="K10" s="5"/>
      <c r="L10" s="5"/>
    </row>
    <row r="11" spans="1:12" ht="25.5" x14ac:dyDescent="0.2">
      <c r="A11" s="30">
        <v>3</v>
      </c>
      <c r="B11" s="36" t="s">
        <v>103</v>
      </c>
      <c r="C11" s="31" t="s">
        <v>102</v>
      </c>
      <c r="D11" s="31">
        <v>2007</v>
      </c>
      <c r="E11" s="50">
        <v>44171</v>
      </c>
      <c r="F11" s="31"/>
      <c r="G11" s="31"/>
      <c r="H11" s="31"/>
      <c r="I11" s="5"/>
      <c r="J11" s="5"/>
      <c r="K11" s="5"/>
      <c r="L11" s="5"/>
    </row>
    <row r="12" spans="1:12" ht="25.5" x14ac:dyDescent="0.2">
      <c r="A12" s="30">
        <v>4</v>
      </c>
      <c r="B12" s="36" t="s">
        <v>103</v>
      </c>
      <c r="C12" s="31" t="s">
        <v>601</v>
      </c>
      <c r="D12" s="31">
        <v>2003</v>
      </c>
      <c r="E12" s="50">
        <v>44171</v>
      </c>
      <c r="F12" s="31"/>
      <c r="G12" s="31"/>
      <c r="H12" s="31"/>
      <c r="I12" s="5"/>
      <c r="J12" s="5"/>
      <c r="K12" s="5"/>
      <c r="L12" s="5"/>
    </row>
    <row r="13" spans="1:12" x14ac:dyDescent="0.2">
      <c r="A13" s="30">
        <v>5</v>
      </c>
      <c r="B13" s="30" t="s">
        <v>25</v>
      </c>
      <c r="C13" s="38" t="s">
        <v>24</v>
      </c>
      <c r="D13" s="31">
        <v>2005</v>
      </c>
      <c r="E13" s="50">
        <v>44171</v>
      </c>
      <c r="F13" s="31"/>
      <c r="G13" s="31"/>
      <c r="H13" s="31"/>
      <c r="I13" s="5"/>
      <c r="J13" s="5"/>
      <c r="K13" s="5"/>
      <c r="L13" s="5"/>
    </row>
    <row r="14" spans="1:12" ht="152.25" customHeight="1" x14ac:dyDescent="0.2">
      <c r="A14" s="33"/>
      <c r="B14" s="110" t="s">
        <v>583</v>
      </c>
      <c r="C14" s="110"/>
      <c r="D14" s="110"/>
      <c r="E14" s="110"/>
      <c r="F14" s="110"/>
      <c r="G14" s="37" t="s">
        <v>524</v>
      </c>
      <c r="H14" s="34"/>
      <c r="I14" s="5"/>
      <c r="J14" s="5"/>
      <c r="K14" s="5"/>
      <c r="L14" s="5"/>
    </row>
    <row r="15" spans="1:12" ht="54" customHeight="1" x14ac:dyDescent="0.2">
      <c r="A15" s="33"/>
      <c r="B15" s="110" t="s">
        <v>594</v>
      </c>
      <c r="C15" s="110"/>
      <c r="D15" s="110"/>
      <c r="E15" s="110"/>
      <c r="F15" s="110"/>
      <c r="G15" s="31" t="s">
        <v>524</v>
      </c>
      <c r="H15" s="34"/>
      <c r="I15" s="5"/>
      <c r="J15" s="5"/>
      <c r="K15" s="5"/>
      <c r="L15" s="5"/>
    </row>
    <row r="16" spans="1:12" ht="40.5" customHeight="1" x14ac:dyDescent="0.2">
      <c r="B16" s="110" t="s">
        <v>628</v>
      </c>
      <c r="C16" s="110"/>
      <c r="D16" s="110"/>
      <c r="E16" s="110"/>
      <c r="F16" s="110"/>
      <c r="G16" s="31" t="s">
        <v>524</v>
      </c>
      <c r="H16" s="5"/>
      <c r="I16" s="5"/>
      <c r="J16" s="5"/>
      <c r="K16" s="5"/>
      <c r="L16" s="5"/>
    </row>
    <row r="17" spans="1:12" x14ac:dyDescent="0.2">
      <c r="B17" s="3"/>
      <c r="C17" s="32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">
      <c r="A18" s="119" t="s">
        <v>356</v>
      </c>
      <c r="B18" s="124"/>
      <c r="C18" s="125"/>
      <c r="D18" s="126"/>
      <c r="E18" s="127"/>
      <c r="F18" s="128" t="s">
        <v>334</v>
      </c>
      <c r="G18" s="129"/>
      <c r="H18" s="120"/>
      <c r="I18" s="130"/>
      <c r="J18" s="131"/>
      <c r="K18" s="132"/>
    </row>
    <row r="19" spans="1:12" x14ac:dyDescent="0.2">
      <c r="A19" s="119" t="s">
        <v>335</v>
      </c>
      <c r="B19" s="120"/>
      <c r="C19" s="121"/>
      <c r="D19" s="122"/>
      <c r="E19" s="122"/>
      <c r="F19" s="122"/>
      <c r="G19" s="122"/>
      <c r="H19" s="122"/>
      <c r="I19" s="122"/>
      <c r="J19" s="122"/>
      <c r="K19" s="123"/>
    </row>
  </sheetData>
  <mergeCells count="12">
    <mergeCell ref="A19:B19"/>
    <mergeCell ref="C19:K19"/>
    <mergeCell ref="B15:F15"/>
    <mergeCell ref="B16:F16"/>
    <mergeCell ref="A18:B18"/>
    <mergeCell ref="C18:E18"/>
    <mergeCell ref="F18:H18"/>
    <mergeCell ref="I18:K18"/>
    <mergeCell ref="A4:B4"/>
    <mergeCell ref="C4:K4"/>
    <mergeCell ref="B6:L6"/>
    <mergeCell ref="B14:F14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1"/>
  <dimension ref="A2:L23"/>
  <sheetViews>
    <sheetView view="pageLayout" topLeftCell="A13" zoomScaleNormal="100" zoomScaleSheetLayoutView="100" workbookViewId="0">
      <selection activeCell="H9" sqref="H9:H17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30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295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tr">
        <f>"Forma 8000"</f>
        <v>Forma 8000</v>
      </c>
      <c r="C9" s="31" t="str">
        <f>"300111884"</f>
        <v>300111884</v>
      </c>
      <c r="D9" s="31">
        <v>2017</v>
      </c>
      <c r="E9" s="31" t="str">
        <f>"2021-01-10"</f>
        <v>2021-01-10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tr">
        <f>"MCO-5AC"</f>
        <v>MCO-5AC</v>
      </c>
      <c r="C10" s="31" t="str">
        <f>"16110200"</f>
        <v>16110200</v>
      </c>
      <c r="D10" s="31">
        <v>2017</v>
      </c>
      <c r="E10" s="31" t="str">
        <f>"2020-12-04"</f>
        <v>2020-12-04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30" t="str">
        <f>"MCO-5AC"</f>
        <v>MCO-5AC</v>
      </c>
      <c r="C11" s="31" t="str">
        <f>"16110197"</f>
        <v>16110197</v>
      </c>
      <c r="D11" s="31">
        <v>2017</v>
      </c>
      <c r="E11" s="31" t="str">
        <f>"2020-12-04"</f>
        <v>2020-12-04</v>
      </c>
      <c r="F11" s="31"/>
      <c r="G11" s="31"/>
      <c r="H11" s="31"/>
      <c r="I11" s="5"/>
      <c r="J11" s="5"/>
      <c r="K11" s="5"/>
      <c r="L11" s="5"/>
    </row>
    <row r="12" spans="1:12" x14ac:dyDescent="0.2">
      <c r="A12" s="30">
        <v>4</v>
      </c>
      <c r="B12" s="30" t="str">
        <f>"MCO-5AC"</f>
        <v>MCO-5AC</v>
      </c>
      <c r="C12" s="31" t="str">
        <f>"16120208"</f>
        <v>16120208</v>
      </c>
      <c r="D12" s="31">
        <v>2017</v>
      </c>
      <c r="E12" s="31" t="str">
        <f>"2020-12-04"</f>
        <v>2020-12-04</v>
      </c>
      <c r="F12" s="31"/>
      <c r="G12" s="31"/>
      <c r="H12" s="31"/>
      <c r="I12" s="5"/>
      <c r="J12" s="5"/>
      <c r="K12" s="5"/>
      <c r="L12" s="5"/>
    </row>
    <row r="13" spans="1:12" x14ac:dyDescent="0.2">
      <c r="A13" s="30">
        <v>5</v>
      </c>
      <c r="B13" s="30" t="str">
        <f>"INCUCEL 55"</f>
        <v>INCUCEL 55</v>
      </c>
      <c r="C13" s="31" t="str">
        <f>"--"</f>
        <v>--</v>
      </c>
      <c r="D13" s="31">
        <v>2003</v>
      </c>
      <c r="E13" s="50">
        <v>44056</v>
      </c>
      <c r="F13" s="31"/>
      <c r="G13" s="31"/>
      <c r="H13" s="31"/>
      <c r="I13" s="5"/>
      <c r="J13" s="5"/>
      <c r="K13" s="5"/>
      <c r="L13" s="5"/>
    </row>
    <row r="14" spans="1:12" x14ac:dyDescent="0.2">
      <c r="A14" s="30">
        <v>6</v>
      </c>
      <c r="B14" s="30" t="str">
        <f>"INCUCEL 55"</f>
        <v>INCUCEL 55</v>
      </c>
      <c r="C14" s="31" t="str">
        <f>"B080009"</f>
        <v>B080009</v>
      </c>
      <c r="D14" s="31">
        <v>2008</v>
      </c>
      <c r="E14" s="50">
        <v>44056</v>
      </c>
      <c r="F14" s="31"/>
      <c r="G14" s="31"/>
      <c r="H14" s="31"/>
      <c r="I14" s="5"/>
      <c r="J14" s="5"/>
      <c r="K14" s="5"/>
      <c r="L14" s="5"/>
    </row>
    <row r="15" spans="1:12" x14ac:dyDescent="0.2">
      <c r="A15" s="30">
        <v>7</v>
      </c>
      <c r="B15" s="30" t="str">
        <f>"Incucell V"</f>
        <v>Incucell V</v>
      </c>
      <c r="C15" s="31" t="str">
        <f>"D 172660"</f>
        <v>D 172660</v>
      </c>
      <c r="D15" s="31">
        <v>2017</v>
      </c>
      <c r="E15" s="31" t="str">
        <f>"2020-12-05"</f>
        <v>2020-12-05</v>
      </c>
      <c r="F15" s="31"/>
      <c r="G15" s="31"/>
      <c r="H15" s="31"/>
      <c r="I15" s="5"/>
      <c r="J15" s="5"/>
      <c r="K15" s="5"/>
      <c r="L15" s="5"/>
    </row>
    <row r="16" spans="1:12" x14ac:dyDescent="0.2">
      <c r="A16" s="30">
        <v>8</v>
      </c>
      <c r="B16" s="30" t="str">
        <f>"Incucell V"</f>
        <v>Incucell V</v>
      </c>
      <c r="C16" s="31" t="str">
        <f>"D 172661"</f>
        <v>D 172661</v>
      </c>
      <c r="D16" s="31">
        <v>2017</v>
      </c>
      <c r="E16" s="31" t="str">
        <f>"2020-12-05"</f>
        <v>2020-12-05</v>
      </c>
      <c r="F16" s="31"/>
      <c r="G16" s="31"/>
      <c r="H16" s="31"/>
      <c r="I16" s="5"/>
      <c r="J16" s="5"/>
      <c r="K16" s="5"/>
      <c r="L16" s="5"/>
    </row>
    <row r="17" spans="1:12" x14ac:dyDescent="0.2">
      <c r="A17" s="30">
        <v>9</v>
      </c>
      <c r="B17" s="51">
        <v>311</v>
      </c>
      <c r="C17" s="31">
        <v>3198964610</v>
      </c>
      <c r="D17" s="31">
        <v>2011</v>
      </c>
      <c r="E17" s="50">
        <v>44056</v>
      </c>
      <c r="F17" s="31"/>
      <c r="G17" s="31"/>
      <c r="H17" s="31"/>
      <c r="I17" s="5"/>
      <c r="J17" s="5"/>
      <c r="K17" s="5"/>
      <c r="L17" s="5"/>
    </row>
    <row r="18" spans="1:12" ht="108.75" customHeight="1" x14ac:dyDescent="0.2">
      <c r="A18" s="33"/>
      <c r="B18" s="110" t="s">
        <v>296</v>
      </c>
      <c r="C18" s="110"/>
      <c r="D18" s="110"/>
      <c r="E18" s="110"/>
      <c r="F18" s="110"/>
      <c r="G18" s="37" t="s">
        <v>524</v>
      </c>
      <c r="H18" s="34"/>
      <c r="I18" s="5"/>
      <c r="J18" s="5"/>
      <c r="K18" s="5"/>
      <c r="L18" s="5"/>
    </row>
    <row r="19" spans="1:12" ht="57.75" customHeight="1" x14ac:dyDescent="0.2">
      <c r="A19" s="33"/>
      <c r="B19" s="110" t="s">
        <v>594</v>
      </c>
      <c r="C19" s="110"/>
      <c r="D19" s="110"/>
      <c r="E19" s="110"/>
      <c r="F19" s="110"/>
      <c r="G19" s="31" t="s">
        <v>524</v>
      </c>
      <c r="H19" s="34"/>
      <c r="I19" s="5"/>
      <c r="J19" s="5"/>
      <c r="K19" s="5"/>
      <c r="L19" s="5"/>
    </row>
    <row r="20" spans="1:12" ht="41.25" customHeight="1" x14ac:dyDescent="0.2">
      <c r="B20" s="111" t="s">
        <v>634</v>
      </c>
      <c r="C20" s="111"/>
      <c r="D20" s="111"/>
      <c r="E20" s="111"/>
      <c r="F20" s="111"/>
      <c r="G20" s="31" t="s">
        <v>524</v>
      </c>
      <c r="H20" s="5"/>
      <c r="I20" s="5"/>
      <c r="J20" s="5"/>
      <c r="K20" s="5"/>
      <c r="L20" s="5"/>
    </row>
    <row r="21" spans="1:12" x14ac:dyDescent="0.2">
      <c r="B21" s="3"/>
      <c r="C21" s="32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">
      <c r="A22" s="119" t="s">
        <v>356</v>
      </c>
      <c r="B22" s="124"/>
      <c r="C22" s="125">
        <f>SUM(H9:H17)</f>
        <v>0</v>
      </c>
      <c r="D22" s="126"/>
      <c r="E22" s="127"/>
      <c r="F22" s="128" t="s">
        <v>334</v>
      </c>
      <c r="G22" s="129"/>
      <c r="H22" s="120"/>
      <c r="I22" s="130"/>
      <c r="J22" s="131"/>
      <c r="K22" s="132"/>
    </row>
    <row r="23" spans="1:12" x14ac:dyDescent="0.2">
      <c r="A23" s="119" t="s">
        <v>335</v>
      </c>
      <c r="B23" s="120"/>
      <c r="C23" s="121"/>
      <c r="D23" s="122"/>
      <c r="E23" s="122"/>
      <c r="F23" s="122"/>
      <c r="G23" s="122"/>
      <c r="H23" s="122"/>
      <c r="I23" s="122"/>
      <c r="J23" s="122"/>
      <c r="K23" s="123"/>
    </row>
  </sheetData>
  <mergeCells count="12">
    <mergeCell ref="A23:B23"/>
    <mergeCell ref="C23:K23"/>
    <mergeCell ref="B19:F19"/>
    <mergeCell ref="B20:F20"/>
    <mergeCell ref="A22:B22"/>
    <mergeCell ref="C22:E22"/>
    <mergeCell ref="F22:H22"/>
    <mergeCell ref="I22:K22"/>
    <mergeCell ref="A4:B4"/>
    <mergeCell ref="C4:K4"/>
    <mergeCell ref="B6:L6"/>
    <mergeCell ref="B18:F18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2"/>
  <dimension ref="A2:L15"/>
  <sheetViews>
    <sheetView view="pageLayout" topLeftCell="A16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31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70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ht="38.25" x14ac:dyDescent="0.2">
      <c r="A9" s="30">
        <v>1</v>
      </c>
      <c r="B9" s="40" t="s">
        <v>42</v>
      </c>
      <c r="C9" s="31" t="s">
        <v>105</v>
      </c>
      <c r="D9" s="31">
        <v>1996</v>
      </c>
      <c r="E9" s="31" t="s">
        <v>450</v>
      </c>
      <c r="F9" s="31"/>
      <c r="G9" s="31"/>
      <c r="H9" s="31"/>
      <c r="I9" s="5"/>
      <c r="J9" s="5"/>
      <c r="K9" s="5"/>
      <c r="L9" s="5"/>
    </row>
    <row r="10" spans="1:12" ht="118.5" customHeight="1" x14ac:dyDescent="0.2">
      <c r="A10" s="33"/>
      <c r="B10" s="110" t="s">
        <v>106</v>
      </c>
      <c r="C10" s="110"/>
      <c r="D10" s="110"/>
      <c r="E10" s="110"/>
      <c r="F10" s="110"/>
      <c r="G10" s="37" t="s">
        <v>524</v>
      </c>
      <c r="H10" s="34"/>
      <c r="I10" s="5"/>
      <c r="J10" s="5"/>
      <c r="K10" s="5"/>
      <c r="L10" s="5"/>
    </row>
    <row r="11" spans="1:12" ht="57.75" customHeight="1" x14ac:dyDescent="0.2">
      <c r="A11" s="33"/>
      <c r="B11" s="110" t="s">
        <v>594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  <c r="L11" s="5"/>
    </row>
    <row r="12" spans="1:12" ht="40.5" customHeight="1" x14ac:dyDescent="0.2">
      <c r="B12" s="111" t="s">
        <v>635</v>
      </c>
      <c r="C12" s="111"/>
      <c r="D12" s="111"/>
      <c r="E12" s="111"/>
      <c r="F12" s="111"/>
      <c r="G12" s="31" t="s">
        <v>524</v>
      </c>
      <c r="H12" s="5"/>
      <c r="I12" s="5"/>
      <c r="J12" s="5"/>
      <c r="K12" s="5"/>
      <c r="L12" s="5"/>
    </row>
    <row r="13" spans="1:12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2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4:B4"/>
    <mergeCell ref="C4:K4"/>
    <mergeCell ref="B6:L6"/>
    <mergeCell ref="B10:F10"/>
    <mergeCell ref="A15:B15"/>
    <mergeCell ref="C15:K15"/>
    <mergeCell ref="B11:F11"/>
    <mergeCell ref="B12:F12"/>
    <mergeCell ref="A14:B14"/>
    <mergeCell ref="C14:E14"/>
    <mergeCell ref="F14:H14"/>
    <mergeCell ref="I14:K14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3"/>
  <dimension ref="A2:L15"/>
  <sheetViews>
    <sheetView view="pageLayout" topLeftCell="A13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32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71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107</v>
      </c>
      <c r="C9" s="31">
        <v>99121057</v>
      </c>
      <c r="D9" s="31">
        <v>2006</v>
      </c>
      <c r="E9" s="50">
        <v>44012</v>
      </c>
      <c r="F9" s="31"/>
      <c r="G9" s="31"/>
      <c r="H9" s="31"/>
      <c r="I9" s="5"/>
      <c r="J9" s="5"/>
      <c r="K9" s="5"/>
      <c r="L9" s="5"/>
    </row>
    <row r="10" spans="1:12" ht="108.75" customHeight="1" x14ac:dyDescent="0.2">
      <c r="A10" s="33"/>
      <c r="B10" s="110" t="s">
        <v>324</v>
      </c>
      <c r="C10" s="110"/>
      <c r="D10" s="110"/>
      <c r="E10" s="110"/>
      <c r="F10" s="110"/>
      <c r="G10" s="37" t="s">
        <v>524</v>
      </c>
      <c r="H10" s="34"/>
      <c r="I10" s="5"/>
      <c r="J10" s="5"/>
      <c r="K10" s="5"/>
      <c r="L10" s="5"/>
    </row>
    <row r="11" spans="1:12" ht="80.25" customHeight="1" x14ac:dyDescent="0.2">
      <c r="A11" s="33"/>
      <c r="B11" s="110" t="s">
        <v>321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  <c r="L11" s="5"/>
    </row>
    <row r="12" spans="1:12" ht="54" customHeight="1" x14ac:dyDescent="0.2">
      <c r="B12" s="111" t="s">
        <v>636</v>
      </c>
      <c r="C12" s="111"/>
      <c r="D12" s="111"/>
      <c r="E12" s="111"/>
      <c r="F12" s="111"/>
      <c r="G12" s="31" t="s">
        <v>524</v>
      </c>
      <c r="H12" s="5"/>
      <c r="I12" s="5"/>
      <c r="J12" s="5"/>
      <c r="K12" s="5"/>
      <c r="L12" s="5"/>
    </row>
    <row r="13" spans="1:12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2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4:B4"/>
    <mergeCell ref="C4:K4"/>
    <mergeCell ref="B6:L6"/>
    <mergeCell ref="B10:F10"/>
    <mergeCell ref="A15:B15"/>
    <mergeCell ref="C15:K15"/>
    <mergeCell ref="B11:F11"/>
    <mergeCell ref="B12:F12"/>
    <mergeCell ref="A14:B14"/>
    <mergeCell ref="C14:E14"/>
    <mergeCell ref="F14:H14"/>
    <mergeCell ref="I14:K14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4"/>
  <dimension ref="A2:L19"/>
  <sheetViews>
    <sheetView view="pageLayout" topLeftCell="A16" zoomScaleNormal="100" zoomScaleSheetLayoutView="100" workbookViewId="0">
      <selection activeCell="H9" sqref="H9:H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6" t="s">
        <v>128</v>
      </c>
      <c r="C2" s="24">
        <v>33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72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48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108</v>
      </c>
      <c r="C9" s="31">
        <v>1004045</v>
      </c>
      <c r="D9" s="31">
        <v>2010</v>
      </c>
      <c r="E9" s="50">
        <v>44037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30" t="s">
        <v>108</v>
      </c>
      <c r="C10" s="31">
        <v>1004047</v>
      </c>
      <c r="D10" s="31">
        <v>2010</v>
      </c>
      <c r="E10" s="50">
        <v>44037</v>
      </c>
      <c r="F10" s="31"/>
      <c r="G10" s="31"/>
      <c r="H10" s="31"/>
      <c r="I10" s="5"/>
      <c r="J10" s="5"/>
      <c r="K10" s="5"/>
      <c r="L10" s="5"/>
    </row>
    <row r="11" spans="1:12" x14ac:dyDescent="0.2">
      <c r="A11" s="30">
        <v>3</v>
      </c>
      <c r="B11" s="30" t="s">
        <v>108</v>
      </c>
      <c r="C11" s="31">
        <v>1004041</v>
      </c>
      <c r="D11" s="31">
        <v>2010</v>
      </c>
      <c r="E11" s="50">
        <v>44037</v>
      </c>
      <c r="F11" s="31"/>
      <c r="G11" s="31"/>
      <c r="H11" s="31"/>
      <c r="I11" s="5"/>
      <c r="J11" s="5"/>
      <c r="K11" s="5"/>
      <c r="L11" s="5"/>
    </row>
    <row r="12" spans="1:12" x14ac:dyDescent="0.2">
      <c r="A12" s="30">
        <v>4</v>
      </c>
      <c r="B12" s="30" t="s">
        <v>108</v>
      </c>
      <c r="C12" s="31">
        <v>804061</v>
      </c>
      <c r="D12" s="31">
        <v>2009</v>
      </c>
      <c r="E12" s="50">
        <v>44037</v>
      </c>
      <c r="F12" s="31"/>
      <c r="G12" s="31"/>
      <c r="H12" s="31"/>
      <c r="I12" s="5"/>
      <c r="J12" s="5"/>
      <c r="K12" s="5"/>
      <c r="L12" s="5"/>
    </row>
    <row r="13" spans="1:12" x14ac:dyDescent="0.2">
      <c r="A13" s="30">
        <v>5</v>
      </c>
      <c r="B13" s="30" t="s">
        <v>108</v>
      </c>
      <c r="C13" s="31">
        <v>1004039</v>
      </c>
      <c r="D13" s="31">
        <v>2010</v>
      </c>
      <c r="E13" s="50">
        <v>44037</v>
      </c>
      <c r="F13" s="31"/>
      <c r="G13" s="31"/>
      <c r="H13" s="31"/>
      <c r="I13" s="5"/>
      <c r="J13" s="5"/>
      <c r="K13" s="5"/>
      <c r="L13" s="5"/>
    </row>
    <row r="14" spans="1:12" ht="132.75" customHeight="1" x14ac:dyDescent="0.2">
      <c r="A14" s="33"/>
      <c r="B14" s="110" t="s">
        <v>212</v>
      </c>
      <c r="C14" s="110"/>
      <c r="D14" s="110"/>
      <c r="E14" s="110"/>
      <c r="F14" s="110"/>
      <c r="G14" s="37" t="s">
        <v>524</v>
      </c>
      <c r="H14" s="34"/>
      <c r="I14" s="5"/>
      <c r="J14" s="5"/>
      <c r="K14" s="5"/>
      <c r="L14" s="5"/>
    </row>
    <row r="15" spans="1:12" ht="40.5" customHeight="1" x14ac:dyDescent="0.2">
      <c r="A15" s="33"/>
      <c r="B15" s="110" t="s">
        <v>280</v>
      </c>
      <c r="C15" s="110"/>
      <c r="D15" s="110"/>
      <c r="E15" s="110"/>
      <c r="F15" s="110"/>
      <c r="G15" s="31" t="s">
        <v>524</v>
      </c>
      <c r="H15" s="34"/>
      <c r="I15" s="5"/>
      <c r="J15" s="5"/>
      <c r="K15" s="5"/>
      <c r="L15" s="5"/>
    </row>
    <row r="16" spans="1:12" ht="41.25" customHeight="1" x14ac:dyDescent="0.2">
      <c r="B16" s="111" t="s">
        <v>637</v>
      </c>
      <c r="C16" s="111"/>
      <c r="D16" s="111"/>
      <c r="E16" s="111"/>
      <c r="F16" s="111"/>
      <c r="G16" s="31" t="s">
        <v>524</v>
      </c>
      <c r="H16" s="5"/>
      <c r="I16" s="5"/>
      <c r="J16" s="5"/>
      <c r="K16" s="5"/>
      <c r="L16" s="5"/>
    </row>
    <row r="17" spans="1:12" x14ac:dyDescent="0.2">
      <c r="B17" s="3"/>
      <c r="C17" s="32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">
      <c r="A18" s="119" t="s">
        <v>356</v>
      </c>
      <c r="B18" s="124"/>
      <c r="C18" s="125">
        <f>SUM(H9:H13)</f>
        <v>0</v>
      </c>
      <c r="D18" s="126"/>
      <c r="E18" s="127"/>
      <c r="F18" s="128" t="s">
        <v>334</v>
      </c>
      <c r="G18" s="129"/>
      <c r="H18" s="120"/>
      <c r="I18" s="130"/>
      <c r="J18" s="131"/>
      <c r="K18" s="132"/>
    </row>
    <row r="19" spans="1:12" x14ac:dyDescent="0.2">
      <c r="A19" s="119" t="s">
        <v>335</v>
      </c>
      <c r="B19" s="120"/>
      <c r="C19" s="121"/>
      <c r="D19" s="122"/>
      <c r="E19" s="122"/>
      <c r="F19" s="122"/>
      <c r="G19" s="122"/>
      <c r="H19" s="122"/>
      <c r="I19" s="122"/>
      <c r="J19" s="122"/>
      <c r="K19" s="123"/>
    </row>
  </sheetData>
  <mergeCells count="12">
    <mergeCell ref="A19:B19"/>
    <mergeCell ref="C19:K19"/>
    <mergeCell ref="B15:F15"/>
    <mergeCell ref="B16:F16"/>
    <mergeCell ref="A18:B18"/>
    <mergeCell ref="C18:E18"/>
    <mergeCell ref="F18:H18"/>
    <mergeCell ref="I18:K18"/>
    <mergeCell ref="A4:B4"/>
    <mergeCell ref="C4:K4"/>
    <mergeCell ref="B14:F14"/>
    <mergeCell ref="B6:K6"/>
  </mergeCells>
  <phoneticPr fontId="1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5"/>
  <dimension ref="A2:P22"/>
  <sheetViews>
    <sheetView view="pageLayout" topLeftCell="A16" zoomScaleNormal="100" zoomScaleSheetLayoutView="100" workbookViewId="0">
      <selection activeCell="H9" sqref="H9"/>
    </sheetView>
  </sheetViews>
  <sheetFormatPr defaultRowHeight="12.75" x14ac:dyDescent="0.2"/>
  <cols>
    <col min="1" max="1" width="5.42578125" customWidth="1"/>
    <col min="2" max="2" width="19.42578125" customWidth="1"/>
    <col min="3" max="3" width="10.7109375" customWidth="1"/>
    <col min="4" max="4" width="11.140625" customWidth="1"/>
    <col min="5" max="5" width="16.5703125" customWidth="1"/>
    <col min="6" max="6" width="14.42578125" customWidth="1"/>
    <col min="7" max="7" width="11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6" t="s">
        <v>128</v>
      </c>
      <c r="C2" s="24">
        <v>34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">
      <c r="A4" s="112" t="s">
        <v>326</v>
      </c>
      <c r="B4" s="113"/>
      <c r="C4" s="116" t="s">
        <v>43</v>
      </c>
      <c r="D4" s="117"/>
      <c r="E4" s="117"/>
      <c r="F4" s="117"/>
      <c r="G4" s="117"/>
      <c r="H4" s="117"/>
      <c r="I4" s="117"/>
      <c r="J4" s="117"/>
      <c r="K4" s="118"/>
      <c r="L4" s="11"/>
      <c r="M4" s="5"/>
      <c r="N4" s="5"/>
      <c r="O4" s="5"/>
      <c r="P4" s="5"/>
    </row>
    <row r="5" spans="1:16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5"/>
      <c r="N6" s="5"/>
      <c r="O6" s="5"/>
      <c r="P6" s="5"/>
    </row>
    <row r="7" spans="1:16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  <c r="M8" s="5"/>
      <c r="N8" s="5"/>
      <c r="O8" s="5"/>
      <c r="P8" s="5"/>
    </row>
    <row r="9" spans="1:16" ht="28.5" customHeight="1" x14ac:dyDescent="0.2">
      <c r="A9" s="30">
        <v>1</v>
      </c>
      <c r="B9" s="40" t="s">
        <v>542</v>
      </c>
      <c r="C9" s="31" t="s">
        <v>543</v>
      </c>
      <c r="D9" s="31">
        <v>2008</v>
      </c>
      <c r="E9" s="31" t="s">
        <v>451</v>
      </c>
      <c r="F9" s="31"/>
      <c r="G9" s="31"/>
      <c r="H9" s="31"/>
      <c r="I9" s="5"/>
      <c r="J9" s="5"/>
      <c r="K9" s="5"/>
      <c r="L9" s="5"/>
      <c r="M9" s="5"/>
      <c r="N9" s="5"/>
      <c r="O9" s="5"/>
      <c r="P9" s="5"/>
    </row>
    <row r="10" spans="1:16" ht="162" customHeight="1" x14ac:dyDescent="0.2">
      <c r="A10" s="33"/>
      <c r="B10" s="110" t="s">
        <v>602</v>
      </c>
      <c r="C10" s="110"/>
      <c r="D10" s="110"/>
      <c r="E10" s="110"/>
      <c r="F10" s="110"/>
      <c r="G10" s="31" t="s">
        <v>524</v>
      </c>
      <c r="H10" s="34"/>
      <c r="I10" s="5"/>
      <c r="J10" s="5"/>
      <c r="K10" s="5"/>
      <c r="L10" s="5"/>
      <c r="M10" s="5"/>
      <c r="N10" s="5"/>
      <c r="O10" s="5"/>
      <c r="P10" s="5"/>
    </row>
    <row r="11" spans="1:16" ht="55.5" customHeight="1" x14ac:dyDescent="0.2">
      <c r="A11" s="33"/>
      <c r="B11" s="110" t="s">
        <v>594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  <c r="L11" s="5"/>
      <c r="M11" s="5"/>
      <c r="N11" s="5"/>
      <c r="O11" s="5"/>
      <c r="P11" s="5"/>
    </row>
    <row r="12" spans="1:16" ht="43.5" customHeight="1" x14ac:dyDescent="0.2">
      <c r="B12" s="110" t="s">
        <v>628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6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  <row r="16" spans="1:16" x14ac:dyDescent="0.2">
      <c r="A16" s="7"/>
      <c r="B16" s="10"/>
    </row>
    <row r="17" spans="1:12" x14ac:dyDescent="0.2">
      <c r="A17" s="6"/>
      <c r="B17" s="10"/>
      <c r="C17" s="16"/>
      <c r="D17" s="10"/>
      <c r="E17" s="10"/>
      <c r="F17" s="10"/>
      <c r="G17" s="10"/>
      <c r="H17" s="10"/>
      <c r="I17" s="10"/>
      <c r="J17" s="10"/>
      <c r="K17" s="10"/>
    </row>
    <row r="18" spans="1:12" x14ac:dyDescent="0.2">
      <c r="A18" s="7"/>
      <c r="B18" s="7"/>
      <c r="C18" s="17"/>
    </row>
    <row r="19" spans="1:12" x14ac:dyDescent="0.2">
      <c r="K19" s="4"/>
      <c r="L19" s="4"/>
    </row>
    <row r="20" spans="1:12" x14ac:dyDescent="0.2">
      <c r="K20" s="4"/>
      <c r="L20" s="4"/>
    </row>
    <row r="21" spans="1:12" x14ac:dyDescent="0.2">
      <c r="I21" s="10"/>
      <c r="J21" s="10"/>
      <c r="K21" s="27"/>
      <c r="L21" s="15"/>
    </row>
    <row r="22" spans="1:12" x14ac:dyDescent="0.2">
      <c r="I22" s="15"/>
      <c r="J22" s="15"/>
      <c r="K22" s="15"/>
    </row>
  </sheetData>
  <mergeCells count="12">
    <mergeCell ref="A15:B15"/>
    <mergeCell ref="C15:K15"/>
    <mergeCell ref="A4:B4"/>
    <mergeCell ref="C4:K4"/>
    <mergeCell ref="B6:L6"/>
    <mergeCell ref="A14:B14"/>
    <mergeCell ref="C14:E14"/>
    <mergeCell ref="F14:H14"/>
    <mergeCell ref="I14:K14"/>
    <mergeCell ref="B10:F10"/>
    <mergeCell ref="B11:F11"/>
    <mergeCell ref="B12:F1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9" orientation="landscape" horizontalDpi="300" verticalDpi="300" r:id="rId1"/>
  <headerFooter alignWithMargins="0">
    <oddHeader>&amp;C&amp;"Arial CE,Pogrubiony"&amp;12Szczegółowy opis przedmiotu zamówienia / Arkusz cenowy&amp;RZałącznik nr 1a do specyfikacji</oddHeader>
    <oddFooter>&amp;RStrona &amp;P z &amp;N załącznika nr 1a do specyfikacji</oddFooter>
  </headerFooter>
  <colBreaks count="1" manualBreakCount="1">
    <brk id="11" max="1048575" man="1"/>
  </colBreaks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6">
    <pageSetUpPr fitToPage="1"/>
  </sheetPr>
  <dimension ref="A2:L16"/>
  <sheetViews>
    <sheetView view="pageLayout" topLeftCell="A7" zoomScaleNormal="100" zoomScaleSheetLayoutView="100" workbookViewId="0">
      <selection activeCell="K11" sqref="K11"/>
    </sheetView>
  </sheetViews>
  <sheetFormatPr defaultRowHeight="12.75" x14ac:dyDescent="0.2"/>
  <cols>
    <col min="2" max="2" width="20.42578125" customWidth="1"/>
    <col min="3" max="3" width="14.28515625" customWidth="1"/>
    <col min="5" max="5" width="14.28515625" customWidth="1"/>
    <col min="6" max="6" width="13.7109375" customWidth="1"/>
    <col min="7" max="7" width="11.85546875" customWidth="1"/>
  </cols>
  <sheetData>
    <row r="2" spans="1:12" x14ac:dyDescent="0.2">
      <c r="B2" s="6" t="s">
        <v>128</v>
      </c>
      <c r="C2" s="24">
        <v>35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99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104</v>
      </c>
      <c r="C9" s="31">
        <v>9443</v>
      </c>
      <c r="D9" s="31">
        <v>2012</v>
      </c>
      <c r="E9" s="50">
        <v>44165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40" t="s">
        <v>279</v>
      </c>
      <c r="C10" s="31">
        <v>6230</v>
      </c>
      <c r="D10" s="31">
        <v>2008</v>
      </c>
      <c r="E10" s="50">
        <v>44165</v>
      </c>
      <c r="F10" s="31"/>
      <c r="G10" s="31"/>
      <c r="H10" s="31"/>
      <c r="I10" s="5"/>
      <c r="J10" s="5"/>
      <c r="K10" s="5"/>
      <c r="L10" s="5"/>
    </row>
    <row r="11" spans="1:12" ht="205.5" customHeight="1" x14ac:dyDescent="0.2">
      <c r="A11" s="33"/>
      <c r="B11" s="138" t="s">
        <v>286</v>
      </c>
      <c r="C11" s="138"/>
      <c r="D11" s="138"/>
      <c r="E11" s="138"/>
      <c r="F11" s="138"/>
      <c r="G11" s="37" t="s">
        <v>524</v>
      </c>
      <c r="H11" s="34"/>
      <c r="I11" s="5"/>
      <c r="J11" s="5"/>
      <c r="K11" s="5"/>
      <c r="L11" s="5"/>
    </row>
    <row r="12" spans="1:12" ht="42" customHeight="1" x14ac:dyDescent="0.2">
      <c r="A12" s="33"/>
      <c r="B12" s="110" t="s">
        <v>280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  <c r="L12" s="5"/>
    </row>
    <row r="13" spans="1:12" ht="42.75" customHeight="1" x14ac:dyDescent="0.2">
      <c r="B13" s="110" t="s">
        <v>628</v>
      </c>
      <c r="C13" s="110"/>
      <c r="D13" s="110"/>
      <c r="E13" s="110"/>
      <c r="F13" s="110"/>
      <c r="G13" s="31" t="s">
        <v>524</v>
      </c>
      <c r="H13" s="5"/>
      <c r="I13" s="5"/>
      <c r="J13" s="5"/>
      <c r="K13" s="5"/>
      <c r="L13" s="5"/>
    </row>
    <row r="14" spans="1:12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2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4:B4"/>
    <mergeCell ref="C4:K4"/>
    <mergeCell ref="B6:L6"/>
    <mergeCell ref="B11:F11"/>
    <mergeCell ref="A16:B16"/>
    <mergeCell ref="C16:K16"/>
    <mergeCell ref="B12:F12"/>
    <mergeCell ref="B13:F13"/>
    <mergeCell ref="A15:B15"/>
    <mergeCell ref="C15:E15"/>
    <mergeCell ref="F15:H15"/>
    <mergeCell ref="I15:K15"/>
  </mergeCells>
  <phoneticPr fontId="10" type="noConversion"/>
  <pageMargins left="0.75" right="0.75" top="1" bottom="1" header="0.5" footer="0.5"/>
  <pageSetup paperSize="9" scale="95" orientation="landscape" r:id="rId1"/>
  <headerFooter alignWithMargins="0"/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7">
    <pageSetUpPr fitToPage="1"/>
  </sheetPr>
  <dimension ref="A2:L16"/>
  <sheetViews>
    <sheetView view="pageLayout" zoomScaleNormal="100" zoomScaleSheetLayoutView="100" workbookViewId="0">
      <selection activeCell="H9" sqref="H9:H10"/>
    </sheetView>
  </sheetViews>
  <sheetFormatPr defaultRowHeight="12.75" x14ac:dyDescent="0.2"/>
  <cols>
    <col min="2" max="2" width="25.7109375" customWidth="1"/>
    <col min="3" max="3" width="14.7109375" customWidth="1"/>
    <col min="5" max="5" width="14.42578125" customWidth="1"/>
  </cols>
  <sheetData>
    <row r="2" spans="1:12" x14ac:dyDescent="0.2">
      <c r="B2" s="6" t="s">
        <v>128</v>
      </c>
      <c r="C2" s="24">
        <v>36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73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281</v>
      </c>
      <c r="C9" s="31">
        <v>70062</v>
      </c>
      <c r="D9" s="31">
        <v>2011</v>
      </c>
      <c r="E9" s="50">
        <v>43999</v>
      </c>
      <c r="F9" s="31"/>
      <c r="G9" s="31"/>
      <c r="H9" s="31"/>
      <c r="I9" s="5"/>
      <c r="J9" s="5"/>
      <c r="K9" s="5"/>
      <c r="L9" s="5"/>
    </row>
    <row r="10" spans="1:12" x14ac:dyDescent="0.2">
      <c r="A10" s="30">
        <v>2</v>
      </c>
      <c r="B10" s="40" t="s">
        <v>282</v>
      </c>
      <c r="C10" s="31" t="s">
        <v>284</v>
      </c>
      <c r="D10" s="31">
        <v>2013</v>
      </c>
      <c r="E10" s="50">
        <v>43999</v>
      </c>
      <c r="F10" s="31"/>
      <c r="G10" s="31"/>
      <c r="H10" s="31"/>
      <c r="I10" s="5"/>
      <c r="J10" s="5"/>
      <c r="K10" s="5"/>
      <c r="L10" s="5"/>
    </row>
    <row r="11" spans="1:12" ht="71.25" customHeight="1" x14ac:dyDescent="0.2">
      <c r="A11" s="33"/>
      <c r="B11" s="110" t="s">
        <v>283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  <c r="L11" s="5"/>
    </row>
    <row r="12" spans="1:12" ht="56.25" customHeight="1" x14ac:dyDescent="0.2">
      <c r="A12" s="33"/>
      <c r="B12" s="110" t="s">
        <v>285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  <c r="L12" s="5"/>
    </row>
    <row r="13" spans="1:12" ht="41.25" customHeight="1" x14ac:dyDescent="0.2">
      <c r="B13" s="110" t="s">
        <v>586</v>
      </c>
      <c r="C13" s="110"/>
      <c r="D13" s="110"/>
      <c r="E13" s="110"/>
      <c r="F13" s="110"/>
      <c r="G13" s="31" t="s">
        <v>524</v>
      </c>
      <c r="H13" s="5"/>
      <c r="I13" s="5"/>
      <c r="J13" s="5"/>
      <c r="K13" s="5"/>
      <c r="L13" s="5"/>
    </row>
    <row r="14" spans="1:12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2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4:B4"/>
    <mergeCell ref="C4:K4"/>
    <mergeCell ref="B6:L6"/>
    <mergeCell ref="B11:F11"/>
    <mergeCell ref="A16:B16"/>
    <mergeCell ref="C16:K16"/>
    <mergeCell ref="B12:F12"/>
    <mergeCell ref="B13:F13"/>
    <mergeCell ref="A15:B15"/>
    <mergeCell ref="C15:E15"/>
    <mergeCell ref="F15:H15"/>
    <mergeCell ref="I15:K15"/>
  </mergeCells>
  <phoneticPr fontId="10" type="noConversion"/>
  <pageMargins left="0.75" right="0.75" top="1" bottom="1" header="0.5" footer="0.5"/>
  <pageSetup paperSize="9" scale="96" orientation="landscape" r:id="rId1"/>
  <headerFooter alignWithMargins="0"/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8">
    <pageSetUpPr fitToPage="1"/>
  </sheetPr>
  <dimension ref="A2:L15"/>
  <sheetViews>
    <sheetView view="pageLayout" topLeftCell="A7" zoomScaleNormal="100" zoomScaleSheetLayoutView="100" workbookViewId="0">
      <selection activeCell="H9" sqref="H9"/>
    </sheetView>
  </sheetViews>
  <sheetFormatPr defaultRowHeight="12.75" x14ac:dyDescent="0.2"/>
  <cols>
    <col min="2" max="2" width="30.85546875" customWidth="1"/>
    <col min="3" max="3" width="14.140625" customWidth="1"/>
    <col min="5" max="5" width="12.42578125" customWidth="1"/>
  </cols>
  <sheetData>
    <row r="2" spans="1:12" x14ac:dyDescent="0.2">
      <c r="B2" s="6" t="s">
        <v>128</v>
      </c>
      <c r="C2" s="24">
        <v>37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74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x14ac:dyDescent="0.2">
      <c r="A9" s="30">
        <v>1</v>
      </c>
      <c r="B9" s="30" t="s">
        <v>275</v>
      </c>
      <c r="C9" s="31">
        <v>2552</v>
      </c>
      <c r="D9" s="31">
        <v>2009</v>
      </c>
      <c r="E9" s="50">
        <v>44106</v>
      </c>
      <c r="F9" s="31"/>
      <c r="G9" s="31"/>
      <c r="H9" s="31"/>
      <c r="I9" s="5"/>
      <c r="J9" s="5"/>
      <c r="K9" s="5"/>
      <c r="L9" s="5"/>
    </row>
    <row r="10" spans="1:12" ht="42" customHeight="1" x14ac:dyDescent="0.2">
      <c r="A10" s="33"/>
      <c r="B10" s="110" t="s">
        <v>276</v>
      </c>
      <c r="C10" s="110"/>
      <c r="D10" s="110"/>
      <c r="E10" s="110"/>
      <c r="F10" s="110"/>
      <c r="G10" s="31" t="s">
        <v>524</v>
      </c>
      <c r="H10" s="34"/>
      <c r="I10" s="5"/>
      <c r="J10" s="5"/>
      <c r="K10" s="5"/>
      <c r="L10" s="5"/>
    </row>
    <row r="11" spans="1:12" ht="53.25" customHeight="1" x14ac:dyDescent="0.2">
      <c r="A11" s="33"/>
      <c r="B11" s="110" t="s">
        <v>285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  <c r="L11" s="5"/>
    </row>
    <row r="12" spans="1:12" ht="41.25" customHeight="1" x14ac:dyDescent="0.2">
      <c r="B12" s="111" t="s">
        <v>638</v>
      </c>
      <c r="C12" s="111"/>
      <c r="D12" s="111"/>
      <c r="E12" s="111"/>
      <c r="F12" s="111"/>
      <c r="G12" s="31" t="s">
        <v>524</v>
      </c>
      <c r="H12" s="5"/>
      <c r="I12" s="5"/>
      <c r="J12" s="5"/>
      <c r="K12" s="5"/>
      <c r="L12" s="5"/>
    </row>
    <row r="13" spans="1:12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2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4:B4"/>
    <mergeCell ref="C4:K4"/>
    <mergeCell ref="B6:L6"/>
    <mergeCell ref="B10:F10"/>
    <mergeCell ref="A15:B15"/>
    <mergeCell ref="C15:K15"/>
    <mergeCell ref="B11:F11"/>
    <mergeCell ref="B12:F12"/>
    <mergeCell ref="A14:B14"/>
    <mergeCell ref="C14:E14"/>
    <mergeCell ref="F14:H14"/>
    <mergeCell ref="I14:K14"/>
  </mergeCells>
  <phoneticPr fontId="10" type="noConversion"/>
  <pageMargins left="0.75" right="0.75" top="1" bottom="1" header="0.5" footer="0.5"/>
  <pageSetup paperSize="9" scale="94" orientation="landscape" r:id="rId1"/>
  <headerFooter alignWithMargins="0"/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9"/>
  <dimension ref="A2:L16"/>
  <sheetViews>
    <sheetView view="pageLayout" topLeftCell="A7" zoomScaleNormal="100" zoomScaleSheetLayoutView="100" workbookViewId="0">
      <selection activeCell="H9" sqref="H9:H10"/>
    </sheetView>
  </sheetViews>
  <sheetFormatPr defaultRowHeight="12.75" x14ac:dyDescent="0.2"/>
  <cols>
    <col min="2" max="2" width="18.140625" bestFit="1" customWidth="1"/>
    <col min="3" max="3" width="13.85546875" customWidth="1"/>
    <col min="5" max="5" width="21.85546875" customWidth="1"/>
    <col min="6" max="6" width="10.5703125" customWidth="1"/>
    <col min="7" max="8" width="10.7109375" customWidth="1"/>
  </cols>
  <sheetData>
    <row r="2" spans="1:12" x14ac:dyDescent="0.2">
      <c r="B2" s="6" t="s">
        <v>128</v>
      </c>
      <c r="C2" s="24">
        <v>38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">
      <c r="A4" s="112" t="s">
        <v>326</v>
      </c>
      <c r="B4" s="113"/>
      <c r="C4" s="116" t="s">
        <v>519</v>
      </c>
      <c r="D4" s="117"/>
      <c r="E4" s="117"/>
      <c r="F4" s="117"/>
      <c r="G4" s="117"/>
      <c r="H4" s="117"/>
      <c r="I4" s="117"/>
      <c r="J4" s="117"/>
      <c r="K4" s="118"/>
      <c r="L4" s="11"/>
    </row>
    <row r="5" spans="1:12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  <c r="L6" s="48"/>
    </row>
    <row r="7" spans="1:12" x14ac:dyDescent="0.2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  <c r="L8" s="5"/>
    </row>
    <row r="9" spans="1:12" ht="25.5" x14ac:dyDescent="0.2">
      <c r="A9" s="30">
        <v>1</v>
      </c>
      <c r="B9" s="36" t="s">
        <v>453</v>
      </c>
      <c r="C9" s="31" t="s">
        <v>454</v>
      </c>
      <c r="D9" s="31">
        <v>2017</v>
      </c>
      <c r="E9" s="50">
        <v>44199</v>
      </c>
      <c r="F9" s="31"/>
      <c r="G9" s="31"/>
      <c r="H9" s="31"/>
      <c r="I9" s="5"/>
      <c r="J9" s="5"/>
      <c r="K9" s="5"/>
      <c r="L9" s="5"/>
    </row>
    <row r="10" spans="1:12" s="49" customFormat="1" ht="25.5" x14ac:dyDescent="0.2">
      <c r="A10" s="40">
        <v>2</v>
      </c>
      <c r="B10" s="40" t="s">
        <v>667</v>
      </c>
      <c r="C10" s="31">
        <v>10161</v>
      </c>
      <c r="D10" s="31">
        <v>2009</v>
      </c>
      <c r="E10" s="31" t="s">
        <v>452</v>
      </c>
      <c r="F10" s="31"/>
      <c r="G10" s="31"/>
      <c r="H10" s="31"/>
      <c r="I10" s="5"/>
      <c r="J10" s="5"/>
      <c r="K10" s="5"/>
      <c r="L10" s="5"/>
    </row>
    <row r="11" spans="1:12" ht="133.5" customHeight="1" x14ac:dyDescent="0.2">
      <c r="A11" s="33"/>
      <c r="B11" s="110" t="s">
        <v>520</v>
      </c>
      <c r="C11" s="110"/>
      <c r="D11" s="110"/>
      <c r="E11" s="110"/>
      <c r="F11" s="110"/>
      <c r="G11" s="37" t="s">
        <v>524</v>
      </c>
      <c r="H11" s="34"/>
      <c r="I11" s="5"/>
      <c r="J11" s="5"/>
      <c r="K11" s="5"/>
      <c r="L11" s="5"/>
    </row>
    <row r="12" spans="1:12" ht="104.25" customHeight="1" x14ac:dyDescent="0.2">
      <c r="A12" s="33"/>
      <c r="B12" s="133" t="s">
        <v>600</v>
      </c>
      <c r="C12" s="133"/>
      <c r="D12" s="133"/>
      <c r="E12" s="133"/>
      <c r="F12" s="133"/>
      <c r="G12" s="31" t="s">
        <v>524</v>
      </c>
      <c r="H12" s="34"/>
      <c r="I12" s="5"/>
      <c r="J12" s="5"/>
      <c r="K12" s="5"/>
      <c r="L12" s="5"/>
    </row>
    <row r="13" spans="1:12" ht="43.5" customHeight="1" x14ac:dyDescent="0.2">
      <c r="B13" s="110" t="s">
        <v>628</v>
      </c>
      <c r="C13" s="110"/>
      <c r="D13" s="110"/>
      <c r="E13" s="110"/>
      <c r="F13" s="110"/>
      <c r="G13" s="31" t="s">
        <v>524</v>
      </c>
      <c r="H13" s="5"/>
      <c r="I13" s="5"/>
      <c r="J13" s="5"/>
      <c r="K13" s="5"/>
      <c r="L13" s="5"/>
    </row>
    <row r="14" spans="1:12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2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4:B4"/>
    <mergeCell ref="C4:K4"/>
    <mergeCell ref="B11:F11"/>
    <mergeCell ref="I15:K15"/>
    <mergeCell ref="A16:B16"/>
    <mergeCell ref="C16:K16"/>
    <mergeCell ref="B6:K6"/>
    <mergeCell ref="B12:F12"/>
    <mergeCell ref="B13:F13"/>
    <mergeCell ref="A15:B15"/>
    <mergeCell ref="C15:E15"/>
    <mergeCell ref="F15:H15"/>
  </mergeCells>
  <phoneticPr fontId="10" type="noConversion"/>
  <pageMargins left="0.75" right="0.75" top="1" bottom="1" header="0.5" footer="0.5"/>
  <pageSetup paperSize="9" scale="66" orientation="portrait" r:id="rId1"/>
  <headerFooter alignWithMargins="0"/>
  <colBreaks count="1" manualBreakCount="1">
    <brk id="11" max="1048575" man="1"/>
  </colBreaks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0"/>
  <dimension ref="A2:K15"/>
  <sheetViews>
    <sheetView view="pageLayout" topLeftCell="A55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5.28515625" customWidth="1"/>
  </cols>
  <sheetData>
    <row r="2" spans="1:11" x14ac:dyDescent="0.2">
      <c r="B2" s="6" t="s">
        <v>128</v>
      </c>
      <c r="C2" s="24">
        <v>39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75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7"/>
      <c r="D6" s="137"/>
      <c r="E6" s="137"/>
      <c r="F6" s="137"/>
      <c r="G6" s="137"/>
      <c r="H6" s="137"/>
      <c r="I6" s="137"/>
      <c r="J6" s="137"/>
      <c r="K6" s="137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0" t="s">
        <v>672</v>
      </c>
      <c r="C9" s="31">
        <v>20515</v>
      </c>
      <c r="D9" s="31">
        <v>2014</v>
      </c>
      <c r="E9" s="50">
        <v>44161</v>
      </c>
      <c r="F9" s="31"/>
      <c r="G9" s="31"/>
      <c r="H9" s="31"/>
      <c r="I9" s="5"/>
      <c r="J9" s="5"/>
      <c r="K9" s="5"/>
    </row>
    <row r="10" spans="1:11" ht="147" customHeight="1" x14ac:dyDescent="0.2">
      <c r="A10" s="33"/>
      <c r="B10" s="110" t="s">
        <v>2</v>
      </c>
      <c r="C10" s="110"/>
      <c r="D10" s="110"/>
      <c r="E10" s="110"/>
      <c r="F10" s="110"/>
      <c r="G10" s="37" t="s">
        <v>524</v>
      </c>
      <c r="H10" s="34"/>
      <c r="I10" s="5"/>
      <c r="J10" s="5"/>
      <c r="K10" s="5"/>
    </row>
    <row r="11" spans="1:11" ht="53.25" customHeight="1" x14ac:dyDescent="0.2">
      <c r="A11" s="33"/>
      <c r="B11" s="110" t="s">
        <v>594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</row>
    <row r="12" spans="1:11" ht="45" customHeight="1" x14ac:dyDescent="0.2">
      <c r="B12" s="110" t="s">
        <v>628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9" orientation="portrait" r:id="rId1"/>
  <headerFooter alignWithMargins="0"/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1"/>
  <dimension ref="A2:K16"/>
  <sheetViews>
    <sheetView view="pageLayout" zoomScaleNormal="100" zoomScaleSheetLayoutView="100" workbookViewId="0">
      <selection activeCell="H9" sqref="H9:H10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40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92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0" t="s">
        <v>3</v>
      </c>
      <c r="C9" s="31" t="s">
        <v>4</v>
      </c>
      <c r="D9" s="31">
        <v>2014</v>
      </c>
      <c r="E9" s="50">
        <v>44155</v>
      </c>
      <c r="F9" s="31"/>
      <c r="G9" s="31"/>
      <c r="H9" s="31"/>
      <c r="I9" s="5"/>
      <c r="J9" s="5"/>
      <c r="K9" s="5"/>
    </row>
    <row r="10" spans="1:11" x14ac:dyDescent="0.2">
      <c r="A10" s="30">
        <v>2</v>
      </c>
      <c r="B10" s="30" t="s">
        <v>3</v>
      </c>
      <c r="C10" s="31" t="s">
        <v>5</v>
      </c>
      <c r="D10" s="31">
        <v>2014</v>
      </c>
      <c r="E10" s="50">
        <v>44155</v>
      </c>
      <c r="F10" s="31"/>
      <c r="G10" s="31"/>
      <c r="H10" s="31"/>
      <c r="I10" s="5"/>
      <c r="J10" s="5"/>
      <c r="K10" s="5"/>
    </row>
    <row r="11" spans="1:11" ht="129.75" customHeight="1" x14ac:dyDescent="0.2">
      <c r="A11" s="33"/>
      <c r="B11" s="110" t="s">
        <v>212</v>
      </c>
      <c r="C11" s="110"/>
      <c r="D11" s="110"/>
      <c r="E11" s="110"/>
      <c r="F11" s="110"/>
      <c r="G11" s="37" t="s">
        <v>524</v>
      </c>
      <c r="H11" s="34"/>
      <c r="I11" s="5"/>
      <c r="J11" s="5"/>
      <c r="K11" s="5"/>
    </row>
    <row r="12" spans="1:11" ht="39" customHeight="1" x14ac:dyDescent="0.2">
      <c r="A12" s="33"/>
      <c r="B12" s="110" t="s">
        <v>280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</row>
    <row r="13" spans="1:11" ht="40.5" customHeight="1" x14ac:dyDescent="0.2">
      <c r="B13" s="111" t="s">
        <v>637</v>
      </c>
      <c r="C13" s="111"/>
      <c r="D13" s="111"/>
      <c r="E13" s="111"/>
      <c r="F13" s="111"/>
      <c r="G13" s="31" t="s">
        <v>524</v>
      </c>
      <c r="H13" s="5"/>
      <c r="I13" s="5"/>
      <c r="J13" s="5"/>
      <c r="K13" s="5"/>
    </row>
    <row r="14" spans="1:11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1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16:B16"/>
    <mergeCell ref="C16:K16"/>
    <mergeCell ref="B12:F12"/>
    <mergeCell ref="B13:F13"/>
    <mergeCell ref="A15:B15"/>
    <mergeCell ref="C15:E15"/>
    <mergeCell ref="F15:H15"/>
    <mergeCell ref="A4:B4"/>
    <mergeCell ref="C4:K4"/>
    <mergeCell ref="B6:K6"/>
    <mergeCell ref="B11:F11"/>
    <mergeCell ref="I15:K15"/>
  </mergeCells>
  <phoneticPr fontId="10" type="noConversion"/>
  <pageMargins left="0.75" right="0.75" top="1" bottom="1" header="0.5" footer="0.5"/>
  <pageSetup paperSize="9" scale="58" orientation="portrait" r:id="rId1"/>
  <headerFooter alignWithMargins="0"/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2"/>
  <dimension ref="A2:K15"/>
  <sheetViews>
    <sheetView view="pageLayout" topLeftCell="A13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41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617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0" t="s">
        <v>618</v>
      </c>
      <c r="C9" s="31" t="s">
        <v>619</v>
      </c>
      <c r="D9" s="31">
        <v>2007</v>
      </c>
      <c r="E9" s="50">
        <v>44285</v>
      </c>
      <c r="F9" s="31"/>
      <c r="G9" s="31"/>
      <c r="H9" s="31"/>
      <c r="I9" s="5"/>
      <c r="J9" s="5"/>
      <c r="K9" s="5"/>
    </row>
    <row r="10" spans="1:11" ht="129" customHeight="1" x14ac:dyDescent="0.2">
      <c r="A10" s="33"/>
      <c r="B10" s="140" t="s">
        <v>621</v>
      </c>
      <c r="C10" s="141"/>
      <c r="D10" s="141"/>
      <c r="E10" s="141"/>
      <c r="F10" s="142"/>
      <c r="G10" s="37" t="s">
        <v>524</v>
      </c>
      <c r="H10" s="34"/>
      <c r="I10" s="5"/>
      <c r="J10" s="5"/>
      <c r="K10" s="5"/>
    </row>
    <row r="11" spans="1:11" ht="57.75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2.75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8" orientation="portrait" r:id="rId1"/>
  <headerFooter alignWithMargins="0"/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3"/>
  <dimension ref="A2:K19"/>
  <sheetViews>
    <sheetView view="pageLayout" topLeftCell="A10" zoomScaleNormal="100" zoomScaleSheetLayoutView="100" workbookViewId="0">
      <selection activeCell="H9" sqref="H9:H1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42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93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0" t="str">
        <f>"Puritan Bennett 840"</f>
        <v>Puritan Bennett 840</v>
      </c>
      <c r="C9" s="31" t="str">
        <f>"3512142596"</f>
        <v>3512142596</v>
      </c>
      <c r="D9" s="31">
        <v>2014</v>
      </c>
      <c r="E9" s="50">
        <v>44147</v>
      </c>
      <c r="F9" s="31"/>
      <c r="G9" s="31"/>
      <c r="H9" s="31"/>
      <c r="I9" s="5"/>
      <c r="J9" s="5"/>
      <c r="K9" s="5"/>
    </row>
    <row r="10" spans="1:11" x14ac:dyDescent="0.2">
      <c r="A10" s="30">
        <v>2</v>
      </c>
      <c r="B10" s="30" t="str">
        <f>"Puritan Bennett 840"</f>
        <v>Puritan Bennett 840</v>
      </c>
      <c r="C10" s="31" t="str">
        <f>"3512142406"</f>
        <v>3512142406</v>
      </c>
      <c r="D10" s="31">
        <v>2014</v>
      </c>
      <c r="E10" s="50">
        <v>44147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30" t="str">
        <f>"Puritan Bennett 840"</f>
        <v>Puritan Bennett 840</v>
      </c>
      <c r="C11" s="31" t="str">
        <f>"3512142536"</f>
        <v>3512142536</v>
      </c>
      <c r="D11" s="31">
        <v>2014</v>
      </c>
      <c r="E11" s="50">
        <v>44147</v>
      </c>
      <c r="F11" s="31"/>
      <c r="G11" s="31"/>
      <c r="H11" s="31"/>
      <c r="I11" s="5"/>
      <c r="J11" s="5"/>
      <c r="K11" s="5"/>
    </row>
    <row r="12" spans="1:11" x14ac:dyDescent="0.2">
      <c r="A12" s="30">
        <v>4</v>
      </c>
      <c r="B12" s="30" t="str">
        <f>"Puritan Bennett 840"</f>
        <v>Puritan Bennett 840</v>
      </c>
      <c r="C12" s="31" t="str">
        <f>"3512142610"</f>
        <v>3512142610</v>
      </c>
      <c r="D12" s="31">
        <v>2014</v>
      </c>
      <c r="E12" s="50">
        <v>44147</v>
      </c>
      <c r="F12" s="31"/>
      <c r="G12" s="31"/>
      <c r="H12" s="31"/>
      <c r="I12" s="5"/>
      <c r="J12" s="5"/>
      <c r="K12" s="5"/>
    </row>
    <row r="13" spans="1:11" x14ac:dyDescent="0.2">
      <c r="A13" s="30">
        <v>5</v>
      </c>
      <c r="B13" s="30" t="str">
        <f>"Puritan Bennett 840"</f>
        <v>Puritan Bennett 840</v>
      </c>
      <c r="C13" s="31" t="str">
        <f>"3512142510"</f>
        <v>3512142510</v>
      </c>
      <c r="D13" s="31">
        <v>2014</v>
      </c>
      <c r="E13" s="50">
        <v>44147</v>
      </c>
      <c r="F13" s="31"/>
      <c r="G13" s="31"/>
      <c r="H13" s="31"/>
      <c r="I13" s="5"/>
      <c r="J13" s="5"/>
      <c r="K13" s="5"/>
    </row>
    <row r="14" spans="1:11" ht="119.25" customHeight="1" x14ac:dyDescent="0.2">
      <c r="A14" s="33"/>
      <c r="B14" s="140" t="s">
        <v>536</v>
      </c>
      <c r="C14" s="141"/>
      <c r="D14" s="141"/>
      <c r="E14" s="141"/>
      <c r="F14" s="142"/>
      <c r="G14" s="37" t="s">
        <v>524</v>
      </c>
      <c r="H14" s="34"/>
      <c r="I14" s="5"/>
      <c r="J14" s="5"/>
      <c r="K14" s="5"/>
    </row>
    <row r="15" spans="1:11" ht="58.5" customHeight="1" x14ac:dyDescent="0.2">
      <c r="A15" s="33"/>
      <c r="B15" s="133" t="s">
        <v>594</v>
      </c>
      <c r="C15" s="133"/>
      <c r="D15" s="133"/>
      <c r="E15" s="133"/>
      <c r="F15" s="133"/>
      <c r="G15" s="31" t="s">
        <v>524</v>
      </c>
      <c r="H15" s="34"/>
      <c r="I15" s="5"/>
      <c r="J15" s="5"/>
      <c r="K15" s="5"/>
    </row>
    <row r="16" spans="1:11" ht="44.25" customHeight="1" x14ac:dyDescent="0.2">
      <c r="B16" s="110" t="s">
        <v>628</v>
      </c>
      <c r="C16" s="110"/>
      <c r="D16" s="110"/>
      <c r="E16" s="110"/>
      <c r="F16" s="110"/>
      <c r="G16" s="31" t="s">
        <v>524</v>
      </c>
      <c r="H16" s="5"/>
      <c r="I16" s="5"/>
      <c r="J16" s="5"/>
      <c r="K16" s="5"/>
    </row>
    <row r="17" spans="1:11" x14ac:dyDescent="0.2">
      <c r="B17" s="3"/>
      <c r="C17" s="32"/>
      <c r="D17" s="5"/>
      <c r="E17" s="5"/>
      <c r="F17" s="5"/>
      <c r="G17" s="5"/>
      <c r="H17" s="5"/>
      <c r="I17" s="5"/>
      <c r="J17" s="5"/>
      <c r="K17" s="5"/>
    </row>
    <row r="18" spans="1:11" x14ac:dyDescent="0.2">
      <c r="A18" s="119" t="s">
        <v>356</v>
      </c>
      <c r="B18" s="124"/>
      <c r="C18" s="125">
        <f>SUM(H9:H13)</f>
        <v>0</v>
      </c>
      <c r="D18" s="126"/>
      <c r="E18" s="127"/>
      <c r="F18" s="128" t="s">
        <v>334</v>
      </c>
      <c r="G18" s="129"/>
      <c r="H18" s="120"/>
      <c r="I18" s="130"/>
      <c r="J18" s="131"/>
      <c r="K18" s="132"/>
    </row>
    <row r="19" spans="1:11" x14ac:dyDescent="0.2">
      <c r="A19" s="119" t="s">
        <v>335</v>
      </c>
      <c r="B19" s="120"/>
      <c r="C19" s="121"/>
      <c r="D19" s="122"/>
      <c r="E19" s="122"/>
      <c r="F19" s="122"/>
      <c r="G19" s="122"/>
      <c r="H19" s="122"/>
      <c r="I19" s="122"/>
      <c r="J19" s="122"/>
      <c r="K19" s="123"/>
    </row>
  </sheetData>
  <mergeCells count="12">
    <mergeCell ref="A19:B19"/>
    <mergeCell ref="C19:K19"/>
    <mergeCell ref="B15:F15"/>
    <mergeCell ref="B16:F16"/>
    <mergeCell ref="A18:B18"/>
    <mergeCell ref="C18:E18"/>
    <mergeCell ref="F18:H18"/>
    <mergeCell ref="A4:B4"/>
    <mergeCell ref="C4:K4"/>
    <mergeCell ref="B6:K6"/>
    <mergeCell ref="B14:F14"/>
    <mergeCell ref="I18:K18"/>
  </mergeCells>
  <phoneticPr fontId="10" type="noConversion"/>
  <pageMargins left="0.75" right="0.75" top="1" bottom="1" header="0.5" footer="0.5"/>
  <pageSetup paperSize="9" scale="58" orientation="portrait" r:id="rId1"/>
  <headerFooter alignWithMargins="0"/>
  <legacy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4"/>
  <dimension ref="A2:K16"/>
  <sheetViews>
    <sheetView view="pageLayout" topLeftCell="A7" zoomScaleNormal="100" zoomScaleSheetLayoutView="100" workbookViewId="0">
      <selection activeCell="H9" sqref="H9:H10"/>
    </sheetView>
  </sheetViews>
  <sheetFormatPr defaultRowHeight="12.75" x14ac:dyDescent="0.2"/>
  <cols>
    <col min="1" max="1" width="4" customWidth="1"/>
    <col min="2" max="2" width="25.5703125" bestFit="1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43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457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0" t="s">
        <v>455</v>
      </c>
      <c r="C9" s="31" t="s">
        <v>456</v>
      </c>
      <c r="D9" s="31">
        <v>2017</v>
      </c>
      <c r="E9" s="50">
        <v>44247</v>
      </c>
      <c r="F9" s="31"/>
      <c r="G9" s="31"/>
      <c r="H9" s="31"/>
      <c r="I9" s="5"/>
      <c r="J9" s="5"/>
      <c r="K9" s="5"/>
    </row>
    <row r="10" spans="1:11" ht="25.5" x14ac:dyDescent="0.2">
      <c r="A10" s="30">
        <v>2</v>
      </c>
      <c r="B10" s="30" t="s">
        <v>263</v>
      </c>
      <c r="C10" s="31" t="s">
        <v>264</v>
      </c>
      <c r="D10" s="31">
        <v>2014</v>
      </c>
      <c r="E10" s="50">
        <v>44127</v>
      </c>
      <c r="F10" s="31"/>
      <c r="G10" s="31"/>
      <c r="H10" s="31"/>
      <c r="I10" s="5"/>
      <c r="J10" s="5"/>
      <c r="K10" s="5"/>
    </row>
    <row r="11" spans="1:11" ht="160.5" customHeight="1" x14ac:dyDescent="0.2">
      <c r="A11" s="33"/>
      <c r="B11" s="140" t="s">
        <v>458</v>
      </c>
      <c r="C11" s="141"/>
      <c r="D11" s="141"/>
      <c r="E11" s="141"/>
      <c r="F11" s="142"/>
      <c r="G11" s="37" t="s">
        <v>524</v>
      </c>
      <c r="H11" s="34"/>
      <c r="I11" s="5"/>
      <c r="J11" s="5"/>
      <c r="K11" s="5"/>
    </row>
    <row r="12" spans="1:11" ht="54" customHeight="1" x14ac:dyDescent="0.2">
      <c r="A12" s="33"/>
      <c r="B12" s="133" t="s">
        <v>594</v>
      </c>
      <c r="C12" s="133"/>
      <c r="D12" s="133"/>
      <c r="E12" s="133"/>
      <c r="F12" s="133"/>
      <c r="G12" s="31" t="s">
        <v>524</v>
      </c>
      <c r="H12" s="34"/>
      <c r="I12" s="5"/>
      <c r="J12" s="5"/>
      <c r="K12" s="5"/>
    </row>
    <row r="13" spans="1:11" ht="48" customHeight="1" x14ac:dyDescent="0.2">
      <c r="B13" s="110" t="s">
        <v>625</v>
      </c>
      <c r="C13" s="110"/>
      <c r="D13" s="110"/>
      <c r="E13" s="110"/>
      <c r="F13" s="110"/>
      <c r="G13" s="31" t="s">
        <v>524</v>
      </c>
      <c r="H13" s="5"/>
      <c r="I13" s="5"/>
      <c r="J13" s="5"/>
      <c r="K13" s="5"/>
    </row>
    <row r="14" spans="1:11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1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16:B16"/>
    <mergeCell ref="C16:K16"/>
    <mergeCell ref="B12:F12"/>
    <mergeCell ref="B13:F13"/>
    <mergeCell ref="A15:B15"/>
    <mergeCell ref="C15:E15"/>
    <mergeCell ref="F15:H15"/>
    <mergeCell ref="A4:B4"/>
    <mergeCell ref="C4:K4"/>
    <mergeCell ref="B6:K6"/>
    <mergeCell ref="B11:F11"/>
    <mergeCell ref="I15:K15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5"/>
  <dimension ref="A2:K15"/>
  <sheetViews>
    <sheetView view="pageLayout" topLeftCell="A16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44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538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ht="25.5" x14ac:dyDescent="0.2">
      <c r="A9" s="30">
        <v>1</v>
      </c>
      <c r="B9" s="30" t="s">
        <v>539</v>
      </c>
      <c r="C9" s="38" t="s">
        <v>540</v>
      </c>
      <c r="D9" s="31">
        <v>2008</v>
      </c>
      <c r="E9" s="50">
        <v>44085</v>
      </c>
      <c r="F9" s="31"/>
      <c r="G9" s="31"/>
      <c r="H9" s="31"/>
      <c r="I9" s="5"/>
      <c r="J9" s="5"/>
      <c r="K9" s="5"/>
    </row>
    <row r="10" spans="1:11" ht="122.25" customHeight="1" x14ac:dyDescent="0.2">
      <c r="A10" s="33"/>
      <c r="B10" s="140" t="s">
        <v>212</v>
      </c>
      <c r="C10" s="141"/>
      <c r="D10" s="141"/>
      <c r="E10" s="141"/>
      <c r="F10" s="142"/>
      <c r="G10" s="37" t="s">
        <v>524</v>
      </c>
      <c r="H10" s="34"/>
      <c r="I10" s="5"/>
      <c r="J10" s="5"/>
      <c r="K10" s="5"/>
    </row>
    <row r="11" spans="1:11" ht="56.25" customHeight="1" x14ac:dyDescent="0.2">
      <c r="A11" s="33"/>
      <c r="B11" s="133" t="s">
        <v>594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5" customHeight="1" x14ac:dyDescent="0.2">
      <c r="B12" s="110" t="s">
        <v>637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H9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6"/>
  <dimension ref="A2:K15"/>
  <sheetViews>
    <sheetView view="pageLayout" topLeftCell="A10" zoomScaleNormal="100" zoomScaleSheetLayoutView="100" workbookViewId="0">
      <selection activeCell="B12" sqref="B12:F12"/>
    </sheetView>
  </sheetViews>
  <sheetFormatPr defaultRowHeight="12.75" x14ac:dyDescent="0.2"/>
  <cols>
    <col min="1" max="1" width="4" customWidth="1"/>
    <col min="2" max="2" width="25.5703125" bestFit="1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45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94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>
        <v>2307101</v>
      </c>
      <c r="C9" s="31" t="s">
        <v>265</v>
      </c>
      <c r="D9" s="31">
        <v>2014</v>
      </c>
      <c r="E9" s="50">
        <v>44141</v>
      </c>
      <c r="F9" s="31"/>
      <c r="G9" s="31"/>
      <c r="H9" s="31"/>
      <c r="I9" s="5"/>
      <c r="J9" s="5"/>
      <c r="K9" s="5"/>
    </row>
    <row r="10" spans="1:11" ht="167.25" customHeight="1" x14ac:dyDescent="0.2">
      <c r="A10" s="33"/>
      <c r="B10" s="140" t="s">
        <v>459</v>
      </c>
      <c r="C10" s="141"/>
      <c r="D10" s="141"/>
      <c r="E10" s="141"/>
      <c r="F10" s="142"/>
      <c r="G10" s="37" t="s">
        <v>524</v>
      </c>
      <c r="H10" s="34"/>
      <c r="I10" s="5"/>
      <c r="J10" s="5"/>
      <c r="K10" s="5"/>
    </row>
    <row r="11" spans="1:11" ht="55.5" customHeight="1" x14ac:dyDescent="0.2">
      <c r="A11" s="33"/>
      <c r="B11" s="133" t="s">
        <v>594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4.25" customHeight="1" x14ac:dyDescent="0.2">
      <c r="B12" s="110" t="s">
        <v>625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7"/>
  <dimension ref="A2:K15"/>
  <sheetViews>
    <sheetView view="pageLayout" topLeftCell="A7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46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95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266</v>
      </c>
      <c r="C9" s="31">
        <v>1111408462</v>
      </c>
      <c r="D9" s="31">
        <v>2014</v>
      </c>
      <c r="E9" s="50">
        <v>44242</v>
      </c>
      <c r="F9" s="31"/>
      <c r="G9" s="31"/>
      <c r="H9" s="31"/>
      <c r="I9" s="5"/>
      <c r="J9" s="5"/>
      <c r="K9" s="5"/>
    </row>
    <row r="10" spans="1:11" ht="105.75" customHeight="1" x14ac:dyDescent="0.2">
      <c r="A10" s="33"/>
      <c r="B10" s="140" t="s">
        <v>324</v>
      </c>
      <c r="C10" s="141"/>
      <c r="D10" s="141"/>
      <c r="E10" s="141"/>
      <c r="F10" s="142"/>
      <c r="G10" s="37" t="s">
        <v>524</v>
      </c>
      <c r="H10" s="34"/>
      <c r="I10" s="5"/>
      <c r="J10" s="5"/>
      <c r="K10" s="5"/>
    </row>
    <row r="11" spans="1:11" ht="78" customHeight="1" x14ac:dyDescent="0.2">
      <c r="A11" s="33"/>
      <c r="B11" s="133" t="s">
        <v>267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3.5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8"/>
  <dimension ref="A2:K15"/>
  <sheetViews>
    <sheetView view="pageLayout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47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96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270</v>
      </c>
      <c r="C9" s="31" t="s">
        <v>271</v>
      </c>
      <c r="D9" s="31">
        <v>2014</v>
      </c>
      <c r="E9" s="50">
        <v>44211</v>
      </c>
      <c r="F9" s="31"/>
      <c r="G9" s="31"/>
      <c r="H9" s="31"/>
      <c r="I9" s="5"/>
      <c r="J9" s="5"/>
      <c r="K9" s="5"/>
    </row>
    <row r="10" spans="1:11" ht="105" customHeight="1" x14ac:dyDescent="0.2">
      <c r="A10" s="33"/>
      <c r="B10" s="140" t="s">
        <v>324</v>
      </c>
      <c r="C10" s="141"/>
      <c r="D10" s="141"/>
      <c r="E10" s="141"/>
      <c r="F10" s="142"/>
      <c r="G10" s="37" t="s">
        <v>524</v>
      </c>
      <c r="H10" s="34"/>
      <c r="I10" s="5"/>
      <c r="J10" s="5"/>
      <c r="K10" s="5"/>
    </row>
    <row r="11" spans="1:11" ht="68.25" customHeight="1" x14ac:dyDescent="0.2">
      <c r="A11" s="33"/>
      <c r="B11" s="133" t="s">
        <v>269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2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9"/>
  <dimension ref="A2:K15"/>
  <sheetViews>
    <sheetView view="pageLayout" topLeftCell="A7" zoomScaleNormal="100" zoomScaleSheetLayoutView="100" workbookViewId="0">
      <selection activeCell="H11" sqref="H11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48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97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273</v>
      </c>
      <c r="C9" s="31" t="s">
        <v>274</v>
      </c>
      <c r="D9" s="31">
        <v>2014</v>
      </c>
      <c r="E9" s="50">
        <v>44262</v>
      </c>
      <c r="F9" s="31"/>
      <c r="G9" s="31"/>
      <c r="H9" s="31"/>
      <c r="I9" s="5"/>
      <c r="J9" s="5"/>
      <c r="K9" s="5"/>
    </row>
    <row r="10" spans="1:11" ht="106.5" customHeight="1" x14ac:dyDescent="0.2">
      <c r="A10" s="33"/>
      <c r="B10" s="140" t="s">
        <v>324</v>
      </c>
      <c r="C10" s="141"/>
      <c r="D10" s="141"/>
      <c r="E10" s="141"/>
      <c r="F10" s="142"/>
      <c r="G10" s="37" t="s">
        <v>524</v>
      </c>
      <c r="H10" s="34"/>
      <c r="I10" s="5"/>
      <c r="J10" s="5"/>
      <c r="K10" s="5"/>
    </row>
    <row r="11" spans="1:11" ht="81" customHeight="1" x14ac:dyDescent="0.2">
      <c r="A11" s="33"/>
      <c r="B11" s="133" t="s">
        <v>267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8" customHeight="1" x14ac:dyDescent="0.2">
      <c r="B12" s="110" t="s">
        <v>631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0"/>
  <dimension ref="A2:K51"/>
  <sheetViews>
    <sheetView view="pageLayout" topLeftCell="A57" zoomScaleNormal="100" zoomScaleSheetLayoutView="100" workbookViewId="0">
      <selection activeCell="H9" sqref="H9:H45"/>
    </sheetView>
  </sheetViews>
  <sheetFormatPr defaultRowHeight="12.75" x14ac:dyDescent="0.2"/>
  <cols>
    <col min="1" max="1" width="4" customWidth="1"/>
    <col min="2" max="2" width="25.5703125" bestFit="1" customWidth="1"/>
    <col min="3" max="3" width="17.42578125" bestFit="1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49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98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9" t="s">
        <v>247</v>
      </c>
      <c r="C9" s="60" t="s">
        <v>245</v>
      </c>
      <c r="D9" s="31">
        <v>2006</v>
      </c>
      <c r="E9" s="50">
        <v>44135</v>
      </c>
      <c r="F9" s="31"/>
      <c r="G9" s="31"/>
      <c r="H9" s="31"/>
      <c r="I9" s="5"/>
      <c r="J9" s="5"/>
      <c r="K9" s="5"/>
    </row>
    <row r="10" spans="1:11" x14ac:dyDescent="0.2">
      <c r="A10" s="30">
        <v>2</v>
      </c>
      <c r="B10" s="59" t="s">
        <v>247</v>
      </c>
      <c r="C10" s="60" t="s">
        <v>246</v>
      </c>
      <c r="D10" s="31">
        <v>2006</v>
      </c>
      <c r="E10" s="50">
        <v>44135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30" t="s">
        <v>256</v>
      </c>
      <c r="C11" s="60" t="s">
        <v>222</v>
      </c>
      <c r="D11" s="31">
        <v>2008</v>
      </c>
      <c r="E11" s="50">
        <v>44135</v>
      </c>
      <c r="F11" s="31"/>
      <c r="G11" s="31"/>
      <c r="H11" s="31"/>
      <c r="I11" s="5"/>
      <c r="J11" s="5"/>
      <c r="K11" s="5"/>
    </row>
    <row r="12" spans="1:11" x14ac:dyDescent="0.2">
      <c r="A12" s="30">
        <v>4</v>
      </c>
      <c r="B12" s="30" t="s">
        <v>256</v>
      </c>
      <c r="C12" s="60" t="s">
        <v>223</v>
      </c>
      <c r="D12" s="31">
        <v>2008</v>
      </c>
      <c r="E12" s="50">
        <v>44135</v>
      </c>
      <c r="F12" s="31"/>
      <c r="G12" s="31"/>
      <c r="H12" s="31"/>
      <c r="I12" s="5"/>
      <c r="J12" s="5"/>
      <c r="K12" s="5"/>
    </row>
    <row r="13" spans="1:11" x14ac:dyDescent="0.2">
      <c r="A13" s="30">
        <v>5</v>
      </c>
      <c r="B13" s="30" t="s">
        <v>256</v>
      </c>
      <c r="C13" s="60" t="s">
        <v>224</v>
      </c>
      <c r="D13" s="31">
        <v>2014</v>
      </c>
      <c r="E13" s="50">
        <v>44135</v>
      </c>
      <c r="F13" s="31"/>
      <c r="G13" s="31"/>
      <c r="H13" s="31"/>
      <c r="I13" s="5"/>
      <c r="J13" s="5"/>
      <c r="K13" s="5"/>
    </row>
    <row r="14" spans="1:11" x14ac:dyDescent="0.2">
      <c r="A14" s="30">
        <v>6</v>
      </c>
      <c r="B14" s="30" t="s">
        <v>256</v>
      </c>
      <c r="C14" s="60" t="s">
        <v>225</v>
      </c>
      <c r="D14" s="31">
        <v>2014</v>
      </c>
      <c r="E14" s="50">
        <v>44135</v>
      </c>
      <c r="F14" s="31"/>
      <c r="G14" s="31"/>
      <c r="H14" s="31"/>
      <c r="I14" s="5"/>
      <c r="J14" s="5"/>
      <c r="K14" s="5"/>
    </row>
    <row r="15" spans="1:11" x14ac:dyDescent="0.2">
      <c r="A15" s="30">
        <v>7</v>
      </c>
      <c r="B15" s="30" t="s">
        <v>256</v>
      </c>
      <c r="C15" s="60" t="s">
        <v>226</v>
      </c>
      <c r="D15" s="31">
        <v>2014</v>
      </c>
      <c r="E15" s="50">
        <v>44135</v>
      </c>
      <c r="F15" s="31"/>
      <c r="G15" s="31"/>
      <c r="H15" s="31"/>
      <c r="I15" s="5"/>
      <c r="J15" s="5"/>
      <c r="K15" s="5"/>
    </row>
    <row r="16" spans="1:11" x14ac:dyDescent="0.2">
      <c r="A16" s="30">
        <v>8</v>
      </c>
      <c r="B16" s="30" t="s">
        <v>256</v>
      </c>
      <c r="C16" s="60" t="s">
        <v>227</v>
      </c>
      <c r="D16" s="31">
        <v>2014</v>
      </c>
      <c r="E16" s="50">
        <v>44135</v>
      </c>
      <c r="F16" s="31"/>
      <c r="G16" s="31"/>
      <c r="H16" s="31"/>
      <c r="I16" s="5"/>
      <c r="J16" s="5"/>
      <c r="K16" s="5"/>
    </row>
    <row r="17" spans="1:11" x14ac:dyDescent="0.2">
      <c r="A17" s="30">
        <v>9</v>
      </c>
      <c r="B17" s="30" t="s">
        <v>256</v>
      </c>
      <c r="C17" s="60" t="s">
        <v>228</v>
      </c>
      <c r="D17" s="31">
        <v>2014</v>
      </c>
      <c r="E17" s="50">
        <v>44135</v>
      </c>
      <c r="F17" s="31"/>
      <c r="G17" s="31"/>
      <c r="H17" s="31"/>
      <c r="I17" s="5"/>
      <c r="J17" s="5"/>
      <c r="K17" s="5"/>
    </row>
    <row r="18" spans="1:11" x14ac:dyDescent="0.2">
      <c r="A18" s="30">
        <v>10</v>
      </c>
      <c r="B18" s="30" t="s">
        <v>256</v>
      </c>
      <c r="C18" s="60" t="s">
        <v>229</v>
      </c>
      <c r="D18" s="31">
        <v>2014</v>
      </c>
      <c r="E18" s="50">
        <v>44135</v>
      </c>
      <c r="F18" s="31"/>
      <c r="G18" s="31"/>
      <c r="H18" s="31"/>
      <c r="I18" s="5"/>
      <c r="J18" s="5"/>
      <c r="K18" s="5"/>
    </row>
    <row r="19" spans="1:11" x14ac:dyDescent="0.2">
      <c r="A19" s="30">
        <v>11</v>
      </c>
      <c r="B19" s="30" t="s">
        <v>256</v>
      </c>
      <c r="C19" s="60" t="s">
        <v>230</v>
      </c>
      <c r="D19" s="31">
        <v>2014</v>
      </c>
      <c r="E19" s="50">
        <v>44135</v>
      </c>
      <c r="F19" s="31"/>
      <c r="G19" s="31"/>
      <c r="H19" s="31"/>
      <c r="I19" s="5"/>
      <c r="J19" s="5"/>
      <c r="K19" s="5"/>
    </row>
    <row r="20" spans="1:11" x14ac:dyDescent="0.2">
      <c r="A20" s="30">
        <v>12</v>
      </c>
      <c r="B20" s="30" t="s">
        <v>256</v>
      </c>
      <c r="C20" s="60" t="s">
        <v>231</v>
      </c>
      <c r="D20" s="31">
        <v>2014</v>
      </c>
      <c r="E20" s="50">
        <v>44135</v>
      </c>
      <c r="F20" s="31"/>
      <c r="G20" s="31"/>
      <c r="H20" s="31"/>
      <c r="I20" s="5"/>
      <c r="J20" s="5"/>
      <c r="K20" s="5"/>
    </row>
    <row r="21" spans="1:11" x14ac:dyDescent="0.2">
      <c r="A21" s="30">
        <v>13</v>
      </c>
      <c r="B21" s="30" t="s">
        <v>256</v>
      </c>
      <c r="C21" s="60" t="s">
        <v>232</v>
      </c>
      <c r="D21" s="31">
        <v>2014</v>
      </c>
      <c r="E21" s="50">
        <v>44135</v>
      </c>
      <c r="F21" s="31"/>
      <c r="G21" s="31"/>
      <c r="H21" s="31"/>
      <c r="I21" s="5"/>
      <c r="J21" s="5"/>
      <c r="K21" s="5"/>
    </row>
    <row r="22" spans="1:11" x14ac:dyDescent="0.2">
      <c r="A22" s="30">
        <v>14</v>
      </c>
      <c r="B22" s="30" t="s">
        <v>256</v>
      </c>
      <c r="C22" s="60" t="s">
        <v>233</v>
      </c>
      <c r="D22" s="31">
        <v>2014</v>
      </c>
      <c r="E22" s="50">
        <v>44135</v>
      </c>
      <c r="F22" s="31"/>
      <c r="G22" s="31"/>
      <c r="H22" s="31"/>
      <c r="I22" s="5"/>
      <c r="J22" s="5"/>
      <c r="K22" s="5"/>
    </row>
    <row r="23" spans="1:11" x14ac:dyDescent="0.2">
      <c r="A23" s="30">
        <v>15</v>
      </c>
      <c r="B23" s="30" t="s">
        <v>256</v>
      </c>
      <c r="C23" s="60" t="s">
        <v>234</v>
      </c>
      <c r="D23" s="31">
        <v>2014</v>
      </c>
      <c r="E23" s="50">
        <v>44135</v>
      </c>
      <c r="F23" s="31"/>
      <c r="G23" s="31"/>
      <c r="H23" s="31"/>
      <c r="I23" s="5"/>
      <c r="J23" s="5"/>
      <c r="K23" s="5"/>
    </row>
    <row r="24" spans="1:11" x14ac:dyDescent="0.2">
      <c r="A24" s="30">
        <v>16</v>
      </c>
      <c r="B24" s="30" t="s">
        <v>256</v>
      </c>
      <c r="C24" s="60" t="s">
        <v>235</v>
      </c>
      <c r="D24" s="31">
        <v>2014</v>
      </c>
      <c r="E24" s="50">
        <v>44135</v>
      </c>
      <c r="F24" s="31"/>
      <c r="G24" s="31"/>
      <c r="H24" s="31"/>
      <c r="I24" s="5"/>
      <c r="J24" s="5"/>
      <c r="K24" s="5"/>
    </row>
    <row r="25" spans="1:11" x14ac:dyDescent="0.2">
      <c r="A25" s="30">
        <v>17</v>
      </c>
      <c r="B25" s="30" t="s">
        <v>256</v>
      </c>
      <c r="C25" s="60" t="s">
        <v>236</v>
      </c>
      <c r="D25" s="31">
        <v>2014</v>
      </c>
      <c r="E25" s="50">
        <v>44135</v>
      </c>
      <c r="F25" s="31"/>
      <c r="G25" s="31"/>
      <c r="H25" s="31"/>
      <c r="I25" s="5"/>
      <c r="J25" s="5"/>
      <c r="K25" s="5"/>
    </row>
    <row r="26" spans="1:11" x14ac:dyDescent="0.2">
      <c r="A26" s="30">
        <v>18</v>
      </c>
      <c r="B26" s="30" t="s">
        <v>256</v>
      </c>
      <c r="C26" s="60" t="s">
        <v>237</v>
      </c>
      <c r="D26" s="31">
        <v>2014</v>
      </c>
      <c r="E26" s="50">
        <v>44135</v>
      </c>
      <c r="F26" s="31"/>
      <c r="G26" s="31"/>
      <c r="H26" s="31"/>
      <c r="I26" s="5"/>
      <c r="J26" s="5"/>
      <c r="K26" s="5"/>
    </row>
    <row r="27" spans="1:11" x14ac:dyDescent="0.2">
      <c r="A27" s="30">
        <v>19</v>
      </c>
      <c r="B27" s="30" t="s">
        <v>256</v>
      </c>
      <c r="C27" s="60" t="s">
        <v>238</v>
      </c>
      <c r="D27" s="31">
        <v>2014</v>
      </c>
      <c r="E27" s="50">
        <v>44135</v>
      </c>
      <c r="F27" s="31"/>
      <c r="G27" s="31"/>
      <c r="H27" s="31"/>
      <c r="I27" s="5"/>
      <c r="J27" s="5"/>
      <c r="K27" s="5"/>
    </row>
    <row r="28" spans="1:11" x14ac:dyDescent="0.2">
      <c r="A28" s="30">
        <v>20</v>
      </c>
      <c r="B28" s="30" t="s">
        <v>256</v>
      </c>
      <c r="C28" s="60" t="s">
        <v>239</v>
      </c>
      <c r="D28" s="31">
        <v>2014</v>
      </c>
      <c r="E28" s="50">
        <v>44135</v>
      </c>
      <c r="F28" s="31"/>
      <c r="G28" s="31"/>
      <c r="H28" s="31"/>
      <c r="I28" s="5"/>
      <c r="J28" s="5"/>
      <c r="K28" s="5"/>
    </row>
    <row r="29" spans="1:11" x14ac:dyDescent="0.2">
      <c r="A29" s="30">
        <v>21</v>
      </c>
      <c r="B29" s="30" t="s">
        <v>256</v>
      </c>
      <c r="C29" s="60" t="s">
        <v>240</v>
      </c>
      <c r="D29" s="31">
        <v>2014</v>
      </c>
      <c r="E29" s="50">
        <v>44135</v>
      </c>
      <c r="F29" s="31"/>
      <c r="G29" s="31"/>
      <c r="H29" s="31"/>
      <c r="I29" s="5"/>
      <c r="J29" s="5"/>
      <c r="K29" s="5"/>
    </row>
    <row r="30" spans="1:11" x14ac:dyDescent="0.2">
      <c r="A30" s="30">
        <v>22</v>
      </c>
      <c r="B30" s="30" t="s">
        <v>256</v>
      </c>
      <c r="C30" s="60" t="s">
        <v>241</v>
      </c>
      <c r="D30" s="31">
        <v>2014</v>
      </c>
      <c r="E30" s="50">
        <v>44135</v>
      </c>
      <c r="F30" s="31"/>
      <c r="G30" s="31"/>
      <c r="H30" s="31"/>
      <c r="I30" s="5"/>
      <c r="J30" s="5"/>
      <c r="K30" s="5"/>
    </row>
    <row r="31" spans="1:11" x14ac:dyDescent="0.2">
      <c r="A31" s="30">
        <v>23</v>
      </c>
      <c r="B31" s="30" t="s">
        <v>256</v>
      </c>
      <c r="C31" s="60" t="s">
        <v>242</v>
      </c>
      <c r="D31" s="31">
        <v>2014</v>
      </c>
      <c r="E31" s="50">
        <v>44135</v>
      </c>
      <c r="F31" s="31"/>
      <c r="G31" s="31"/>
      <c r="H31" s="31"/>
      <c r="I31" s="5"/>
      <c r="J31" s="5"/>
      <c r="K31" s="5"/>
    </row>
    <row r="32" spans="1:11" x14ac:dyDescent="0.2">
      <c r="A32" s="30">
        <v>24</v>
      </c>
      <c r="B32" s="30" t="s">
        <v>256</v>
      </c>
      <c r="C32" s="60" t="s">
        <v>243</v>
      </c>
      <c r="D32" s="31">
        <v>2014</v>
      </c>
      <c r="E32" s="50">
        <v>44135</v>
      </c>
      <c r="F32" s="31"/>
      <c r="G32" s="31"/>
      <c r="H32" s="31"/>
      <c r="I32" s="5"/>
      <c r="J32" s="5"/>
      <c r="K32" s="5"/>
    </row>
    <row r="33" spans="1:11" x14ac:dyDescent="0.2">
      <c r="A33" s="30">
        <v>25</v>
      </c>
      <c r="B33" s="30" t="s">
        <v>256</v>
      </c>
      <c r="C33" s="60" t="s">
        <v>244</v>
      </c>
      <c r="D33" s="31">
        <v>2014</v>
      </c>
      <c r="E33" s="50">
        <v>44135</v>
      </c>
      <c r="F33" s="31"/>
      <c r="G33" s="31"/>
      <c r="H33" s="31"/>
      <c r="I33" s="5"/>
      <c r="J33" s="5"/>
      <c r="K33" s="5"/>
    </row>
    <row r="34" spans="1:11" x14ac:dyDescent="0.2">
      <c r="A34" s="30">
        <v>26</v>
      </c>
      <c r="B34" s="30" t="s">
        <v>247</v>
      </c>
      <c r="C34" s="60" t="s">
        <v>218</v>
      </c>
      <c r="D34" s="31">
        <v>2014</v>
      </c>
      <c r="E34" s="50">
        <v>44135</v>
      </c>
      <c r="F34" s="31"/>
      <c r="G34" s="31"/>
      <c r="H34" s="31"/>
      <c r="I34" s="5"/>
      <c r="J34" s="5"/>
      <c r="K34" s="5"/>
    </row>
    <row r="35" spans="1:11" x14ac:dyDescent="0.2">
      <c r="A35" s="30">
        <v>27</v>
      </c>
      <c r="B35" s="30" t="s">
        <v>257</v>
      </c>
      <c r="C35" s="61" t="s">
        <v>258</v>
      </c>
      <c r="D35" s="31">
        <v>2014</v>
      </c>
      <c r="E35" s="50">
        <v>44135</v>
      </c>
      <c r="F35" s="31"/>
      <c r="G35" s="31"/>
      <c r="H35" s="31"/>
      <c r="I35" s="5"/>
      <c r="J35" s="5"/>
      <c r="K35" s="5"/>
    </row>
    <row r="36" spans="1:11" x14ac:dyDescent="0.2">
      <c r="A36" s="30">
        <v>28</v>
      </c>
      <c r="B36" s="30" t="s">
        <v>257</v>
      </c>
      <c r="C36" s="61" t="s">
        <v>259</v>
      </c>
      <c r="D36" s="31">
        <v>2006</v>
      </c>
      <c r="E36" s="50">
        <v>44135</v>
      </c>
      <c r="F36" s="31"/>
      <c r="G36" s="31"/>
      <c r="H36" s="31"/>
      <c r="I36" s="5"/>
      <c r="J36" s="5"/>
      <c r="K36" s="5"/>
    </row>
    <row r="37" spans="1:11" x14ac:dyDescent="0.2">
      <c r="A37" s="30">
        <v>29</v>
      </c>
      <c r="B37" s="30" t="s">
        <v>257</v>
      </c>
      <c r="C37" s="61" t="s">
        <v>260</v>
      </c>
      <c r="D37" s="31">
        <v>2016</v>
      </c>
      <c r="E37" s="50">
        <v>44135</v>
      </c>
      <c r="F37" s="31"/>
      <c r="G37" s="31"/>
      <c r="H37" s="31"/>
      <c r="I37" s="5"/>
      <c r="J37" s="5"/>
      <c r="K37" s="5"/>
    </row>
    <row r="38" spans="1:11" x14ac:dyDescent="0.2">
      <c r="A38" s="30">
        <v>30</v>
      </c>
      <c r="B38" s="30" t="s">
        <v>257</v>
      </c>
      <c r="C38" s="61" t="s">
        <v>261</v>
      </c>
      <c r="D38" s="31">
        <v>2016</v>
      </c>
      <c r="E38" s="50">
        <v>44135</v>
      </c>
      <c r="F38" s="31"/>
      <c r="G38" s="31"/>
      <c r="H38" s="31"/>
      <c r="I38" s="5"/>
      <c r="J38" s="5"/>
      <c r="K38" s="5"/>
    </row>
    <row r="39" spans="1:11" x14ac:dyDescent="0.2">
      <c r="A39" s="30">
        <v>31</v>
      </c>
      <c r="B39" s="59" t="s">
        <v>219</v>
      </c>
      <c r="C39" s="60" t="s">
        <v>220</v>
      </c>
      <c r="D39" s="31">
        <v>2016</v>
      </c>
      <c r="E39" s="50">
        <v>44135</v>
      </c>
      <c r="F39" s="31"/>
      <c r="G39" s="31"/>
      <c r="H39" s="31"/>
      <c r="I39" s="5"/>
      <c r="J39" s="5"/>
      <c r="K39" s="5"/>
    </row>
    <row r="40" spans="1:11" x14ac:dyDescent="0.2">
      <c r="A40" s="30">
        <v>32</v>
      </c>
      <c r="B40" s="59" t="s">
        <v>219</v>
      </c>
      <c r="C40" s="60" t="s">
        <v>221</v>
      </c>
      <c r="D40" s="31">
        <v>2016</v>
      </c>
      <c r="E40" s="50">
        <v>44135</v>
      </c>
      <c r="F40" s="31"/>
      <c r="G40" s="31"/>
      <c r="H40" s="31"/>
      <c r="I40" s="5"/>
      <c r="J40" s="5"/>
      <c r="K40" s="5"/>
    </row>
    <row r="41" spans="1:11" x14ac:dyDescent="0.2">
      <c r="A41" s="30">
        <v>33</v>
      </c>
      <c r="B41" s="59" t="s">
        <v>248</v>
      </c>
      <c r="C41" s="60" t="s">
        <v>249</v>
      </c>
      <c r="D41" s="31">
        <v>2007</v>
      </c>
      <c r="E41" s="50">
        <v>44135</v>
      </c>
      <c r="F41" s="31"/>
      <c r="G41" s="31"/>
      <c r="H41" s="31"/>
      <c r="I41" s="5"/>
      <c r="J41" s="5"/>
      <c r="K41" s="5"/>
    </row>
    <row r="42" spans="1:11" x14ac:dyDescent="0.2">
      <c r="A42" s="30">
        <v>34</v>
      </c>
      <c r="B42" s="59" t="s">
        <v>248</v>
      </c>
      <c r="C42" s="60" t="s">
        <v>250</v>
      </c>
      <c r="D42" s="31">
        <v>2007</v>
      </c>
      <c r="E42" s="50">
        <v>44135</v>
      </c>
      <c r="F42" s="31"/>
      <c r="G42" s="31"/>
      <c r="H42" s="31"/>
      <c r="I42" s="5"/>
      <c r="J42" s="5"/>
      <c r="K42" s="5"/>
    </row>
    <row r="43" spans="1:11" x14ac:dyDescent="0.2">
      <c r="A43" s="30">
        <v>35</v>
      </c>
      <c r="B43" s="59" t="s">
        <v>248</v>
      </c>
      <c r="C43" s="60" t="s">
        <v>251</v>
      </c>
      <c r="D43" s="31">
        <v>2006</v>
      </c>
      <c r="E43" s="50">
        <v>44135</v>
      </c>
      <c r="F43" s="31"/>
      <c r="G43" s="31"/>
      <c r="H43" s="31"/>
      <c r="I43" s="5"/>
      <c r="J43" s="5"/>
      <c r="K43" s="5"/>
    </row>
    <row r="44" spans="1:11" x14ac:dyDescent="0.2">
      <c r="A44" s="30">
        <v>36</v>
      </c>
      <c r="B44" s="59" t="s">
        <v>248</v>
      </c>
      <c r="C44" s="60" t="s">
        <v>252</v>
      </c>
      <c r="D44" s="31">
        <v>2006</v>
      </c>
      <c r="E44" s="50">
        <v>44135</v>
      </c>
      <c r="F44" s="31"/>
      <c r="G44" s="31"/>
      <c r="H44" s="31"/>
      <c r="I44" s="5"/>
      <c r="J44" s="5"/>
      <c r="K44" s="5"/>
    </row>
    <row r="45" spans="1:11" x14ac:dyDescent="0.2">
      <c r="A45" s="30">
        <v>37</v>
      </c>
      <c r="B45" s="59" t="s">
        <v>248</v>
      </c>
      <c r="C45" s="60" t="s">
        <v>253</v>
      </c>
      <c r="D45" s="31">
        <v>2006</v>
      </c>
      <c r="E45" s="50">
        <v>44135</v>
      </c>
      <c r="F45" s="31"/>
      <c r="G45" s="31"/>
      <c r="H45" s="31"/>
      <c r="I45" s="5"/>
      <c r="J45" s="5"/>
      <c r="K45" s="5"/>
    </row>
    <row r="46" spans="1:11" ht="94.5" customHeight="1" x14ac:dyDescent="0.2">
      <c r="A46" s="33"/>
      <c r="B46" s="140" t="s">
        <v>614</v>
      </c>
      <c r="C46" s="141"/>
      <c r="D46" s="141"/>
      <c r="E46" s="141"/>
      <c r="F46" s="142"/>
      <c r="G46" s="37" t="s">
        <v>524</v>
      </c>
      <c r="H46" s="34"/>
      <c r="I46" s="5"/>
      <c r="J46" s="5"/>
      <c r="K46" s="5"/>
    </row>
    <row r="47" spans="1:11" ht="54.75" customHeight="1" x14ac:dyDescent="0.2">
      <c r="A47" s="33"/>
      <c r="B47" s="133" t="s">
        <v>604</v>
      </c>
      <c r="C47" s="133"/>
      <c r="D47" s="133"/>
      <c r="E47" s="133"/>
      <c r="F47" s="133"/>
      <c r="G47" s="31" t="s">
        <v>524</v>
      </c>
      <c r="H47" s="34"/>
      <c r="I47" s="5"/>
      <c r="J47" s="5"/>
      <c r="K47" s="5"/>
    </row>
    <row r="48" spans="1:11" ht="45" customHeight="1" x14ac:dyDescent="0.2">
      <c r="B48" s="135" t="s">
        <v>80</v>
      </c>
      <c r="C48" s="135"/>
      <c r="D48" s="135"/>
      <c r="E48" s="135"/>
      <c r="F48" s="135"/>
      <c r="G48" s="31" t="s">
        <v>524</v>
      </c>
      <c r="H48" s="5"/>
      <c r="I48" s="5"/>
      <c r="J48" s="5"/>
      <c r="K48" s="5"/>
    </row>
    <row r="49" spans="1:11" x14ac:dyDescent="0.2">
      <c r="B49" s="3"/>
      <c r="C49" s="32"/>
      <c r="D49" s="5"/>
      <c r="E49" s="5"/>
      <c r="F49" s="5"/>
      <c r="G49" s="5"/>
      <c r="H49" s="5"/>
      <c r="I49" s="5"/>
      <c r="J49" s="5"/>
      <c r="K49" s="5"/>
    </row>
    <row r="50" spans="1:11" x14ac:dyDescent="0.2">
      <c r="A50" s="119" t="s">
        <v>356</v>
      </c>
      <c r="B50" s="124"/>
      <c r="C50" s="125">
        <f>SUM(H9:H45)</f>
        <v>0</v>
      </c>
      <c r="D50" s="126"/>
      <c r="E50" s="127"/>
      <c r="F50" s="128" t="s">
        <v>334</v>
      </c>
      <c r="G50" s="129"/>
      <c r="H50" s="120"/>
      <c r="I50" s="130"/>
      <c r="J50" s="131"/>
      <c r="K50" s="132"/>
    </row>
    <row r="51" spans="1:11" x14ac:dyDescent="0.2">
      <c r="A51" s="119" t="s">
        <v>335</v>
      </c>
      <c r="B51" s="120"/>
      <c r="C51" s="121"/>
      <c r="D51" s="122"/>
      <c r="E51" s="122"/>
      <c r="F51" s="122"/>
      <c r="G51" s="122"/>
      <c r="H51" s="122"/>
      <c r="I51" s="122"/>
      <c r="J51" s="122"/>
      <c r="K51" s="123"/>
    </row>
  </sheetData>
  <mergeCells count="12">
    <mergeCell ref="A51:B51"/>
    <mergeCell ref="C51:K51"/>
    <mergeCell ref="B47:F47"/>
    <mergeCell ref="B48:F48"/>
    <mergeCell ref="A50:B50"/>
    <mergeCell ref="C50:E50"/>
    <mergeCell ref="F50:H50"/>
    <mergeCell ref="A4:B4"/>
    <mergeCell ref="C4:K4"/>
    <mergeCell ref="B6:K6"/>
    <mergeCell ref="B46:F46"/>
    <mergeCell ref="I50:K50"/>
  </mergeCells>
  <phoneticPr fontId="10" type="noConversion"/>
  <pageMargins left="0.75" right="0.75" top="1" bottom="1" header="0.5" footer="0.5"/>
  <pageSetup paperSize="9" scale="56" orientation="portrait" r:id="rId1"/>
  <headerFooter alignWithMargins="0"/>
  <legacy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1"/>
  <dimension ref="A2:K19"/>
  <sheetViews>
    <sheetView view="pageLayout" topLeftCell="A19" zoomScaleNormal="100" zoomScaleSheetLayoutView="100" workbookViewId="0">
      <selection activeCell="H9" sqref="H9:H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50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603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0" t="str">
        <f>"Trend-ICU (PR-902-020)"</f>
        <v>Trend-ICU (PR-902-020)</v>
      </c>
      <c r="C9" s="62" t="s">
        <v>213</v>
      </c>
      <c r="D9" s="31">
        <v>2014</v>
      </c>
      <c r="E9" s="50">
        <v>44135</v>
      </c>
      <c r="F9" s="31"/>
      <c r="G9" s="31"/>
      <c r="H9" s="31"/>
      <c r="I9" s="5"/>
      <c r="J9" s="5"/>
      <c r="K9" s="5"/>
    </row>
    <row r="10" spans="1:11" x14ac:dyDescent="0.2">
      <c r="A10" s="30">
        <v>2</v>
      </c>
      <c r="B10" s="30" t="str">
        <f>"Trend-ICU (PR-902-020)"</f>
        <v>Trend-ICU (PR-902-020)</v>
      </c>
      <c r="C10" s="62" t="s">
        <v>214</v>
      </c>
      <c r="D10" s="31">
        <v>2014</v>
      </c>
      <c r="E10" s="50">
        <v>44135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30" t="str">
        <f>"Trend-ICU (PR-902-020)"</f>
        <v>Trend-ICU (PR-902-020)</v>
      </c>
      <c r="C11" s="62" t="s">
        <v>215</v>
      </c>
      <c r="D11" s="31">
        <v>2014</v>
      </c>
      <c r="E11" s="50">
        <v>44135</v>
      </c>
      <c r="F11" s="31"/>
      <c r="G11" s="31"/>
      <c r="H11" s="31"/>
      <c r="I11" s="5"/>
      <c r="J11" s="5"/>
      <c r="K11" s="5"/>
    </row>
    <row r="12" spans="1:11" x14ac:dyDescent="0.2">
      <c r="A12" s="30">
        <v>4</v>
      </c>
      <c r="B12" s="30" t="str">
        <f>"Trend-ICU (PR-902-020)"</f>
        <v>Trend-ICU (PR-902-020)</v>
      </c>
      <c r="C12" s="62" t="s">
        <v>216</v>
      </c>
      <c r="D12" s="31">
        <v>2014</v>
      </c>
      <c r="E12" s="50">
        <v>44135</v>
      </c>
      <c r="F12" s="31"/>
      <c r="G12" s="31"/>
      <c r="H12" s="31"/>
      <c r="I12" s="5"/>
      <c r="J12" s="5"/>
      <c r="K12" s="5"/>
    </row>
    <row r="13" spans="1:11" x14ac:dyDescent="0.2">
      <c r="A13" s="30">
        <v>5</v>
      </c>
      <c r="B13" s="30" t="str">
        <f>"Trend-ICU (PR-902-020)"</f>
        <v>Trend-ICU (PR-902-020)</v>
      </c>
      <c r="C13" s="62" t="s">
        <v>217</v>
      </c>
      <c r="D13" s="31">
        <v>2014</v>
      </c>
      <c r="E13" s="50">
        <v>44135</v>
      </c>
      <c r="F13" s="31"/>
      <c r="G13" s="31"/>
      <c r="H13" s="31"/>
      <c r="I13" s="5"/>
      <c r="J13" s="5"/>
      <c r="K13" s="5"/>
    </row>
    <row r="14" spans="1:11" ht="94.5" customHeight="1" x14ac:dyDescent="0.2">
      <c r="A14" s="33"/>
      <c r="B14" s="140" t="s">
        <v>614</v>
      </c>
      <c r="C14" s="141"/>
      <c r="D14" s="141"/>
      <c r="E14" s="141"/>
      <c r="F14" s="142"/>
      <c r="G14" s="37" t="s">
        <v>524</v>
      </c>
      <c r="H14" s="34"/>
      <c r="I14" s="5"/>
      <c r="J14" s="5"/>
      <c r="K14" s="5"/>
    </row>
    <row r="15" spans="1:11" ht="66.75" customHeight="1" x14ac:dyDescent="0.2">
      <c r="A15" s="33"/>
      <c r="B15" s="133" t="s">
        <v>604</v>
      </c>
      <c r="C15" s="133"/>
      <c r="D15" s="133"/>
      <c r="E15" s="133"/>
      <c r="F15" s="133"/>
      <c r="G15" s="31" t="s">
        <v>524</v>
      </c>
      <c r="H15" s="34"/>
      <c r="I15" s="5"/>
      <c r="J15" s="5"/>
      <c r="K15" s="5"/>
    </row>
    <row r="16" spans="1:11" ht="42" customHeight="1" x14ac:dyDescent="0.2">
      <c r="B16" s="135" t="s">
        <v>616</v>
      </c>
      <c r="C16" s="135"/>
      <c r="D16" s="135"/>
      <c r="E16" s="135"/>
      <c r="F16" s="135"/>
      <c r="G16" s="31" t="s">
        <v>524</v>
      </c>
      <c r="H16" s="5"/>
      <c r="I16" s="5"/>
      <c r="J16" s="5"/>
      <c r="K16" s="5"/>
    </row>
    <row r="17" spans="1:11" x14ac:dyDescent="0.2">
      <c r="B17" s="3"/>
      <c r="C17" s="32"/>
      <c r="D17" s="5"/>
      <c r="E17" s="5"/>
      <c r="F17" s="5"/>
      <c r="G17" s="5"/>
      <c r="H17" s="5"/>
      <c r="I17" s="5"/>
      <c r="J17" s="5"/>
      <c r="K17" s="5"/>
    </row>
    <row r="18" spans="1:11" x14ac:dyDescent="0.2">
      <c r="A18" s="119" t="s">
        <v>356</v>
      </c>
      <c r="B18" s="124"/>
      <c r="C18" s="125">
        <f>SUM(H9:H13)</f>
        <v>0</v>
      </c>
      <c r="D18" s="126"/>
      <c r="E18" s="127"/>
      <c r="F18" s="128" t="s">
        <v>334</v>
      </c>
      <c r="G18" s="129"/>
      <c r="H18" s="120"/>
      <c r="I18" s="130"/>
      <c r="J18" s="131"/>
      <c r="K18" s="132"/>
    </row>
    <row r="19" spans="1:11" x14ac:dyDescent="0.2">
      <c r="A19" s="119" t="s">
        <v>335</v>
      </c>
      <c r="B19" s="120"/>
      <c r="C19" s="121"/>
      <c r="D19" s="122"/>
      <c r="E19" s="122"/>
      <c r="F19" s="122"/>
      <c r="G19" s="122"/>
      <c r="H19" s="122"/>
      <c r="I19" s="122"/>
      <c r="J19" s="122"/>
      <c r="K19" s="123"/>
    </row>
  </sheetData>
  <mergeCells count="12">
    <mergeCell ref="A19:B19"/>
    <mergeCell ref="C19:K19"/>
    <mergeCell ref="B15:F15"/>
    <mergeCell ref="B16:F16"/>
    <mergeCell ref="A18:B18"/>
    <mergeCell ref="C18:E18"/>
    <mergeCell ref="F18:H18"/>
    <mergeCell ref="A4:B4"/>
    <mergeCell ref="C4:K4"/>
    <mergeCell ref="B6:K6"/>
    <mergeCell ref="B14:F14"/>
    <mergeCell ref="I18:K18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2"/>
  <dimension ref="A2:K18"/>
  <sheetViews>
    <sheetView view="pageLayout" zoomScaleNormal="100" zoomScaleSheetLayoutView="100" workbookViewId="0">
      <selection activeCell="C17" sqref="C17:E17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51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81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0" t="s">
        <v>82</v>
      </c>
      <c r="C9" s="31" t="s">
        <v>83</v>
      </c>
      <c r="D9" s="31">
        <v>2014</v>
      </c>
      <c r="E9" s="50">
        <v>44165</v>
      </c>
      <c r="F9" s="31"/>
      <c r="G9" s="31"/>
      <c r="H9" s="31"/>
      <c r="I9" s="5"/>
      <c r="J9" s="5"/>
      <c r="K9" s="5"/>
    </row>
    <row r="10" spans="1:11" x14ac:dyDescent="0.2">
      <c r="A10" s="30">
        <v>2</v>
      </c>
      <c r="B10" s="30" t="s">
        <v>84</v>
      </c>
      <c r="C10" s="31" t="s">
        <v>86</v>
      </c>
      <c r="D10" s="31">
        <v>2014</v>
      </c>
      <c r="E10" s="50">
        <v>44165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30" t="s">
        <v>87</v>
      </c>
      <c r="C11" s="31" t="s">
        <v>89</v>
      </c>
      <c r="D11" s="31">
        <v>2014</v>
      </c>
      <c r="E11" s="50">
        <v>44165</v>
      </c>
      <c r="F11" s="31"/>
      <c r="G11" s="31"/>
      <c r="H11" s="31"/>
      <c r="I11" s="5"/>
      <c r="J11" s="5"/>
      <c r="K11" s="5"/>
    </row>
    <row r="12" spans="1:11" x14ac:dyDescent="0.2">
      <c r="A12" s="30">
        <v>4</v>
      </c>
      <c r="B12" s="30" t="s">
        <v>88</v>
      </c>
      <c r="C12" s="31" t="s">
        <v>90</v>
      </c>
      <c r="D12" s="31">
        <v>2014</v>
      </c>
      <c r="E12" s="50">
        <v>44165</v>
      </c>
      <c r="F12" s="31"/>
      <c r="G12" s="31"/>
      <c r="H12" s="31"/>
      <c r="I12" s="5"/>
      <c r="J12" s="5"/>
      <c r="K12" s="5"/>
    </row>
    <row r="13" spans="1:11" ht="183" customHeight="1" x14ac:dyDescent="0.2">
      <c r="A13" s="33"/>
      <c r="B13" s="110" t="s">
        <v>205</v>
      </c>
      <c r="C13" s="110"/>
      <c r="D13" s="110"/>
      <c r="E13" s="110"/>
      <c r="F13" s="110"/>
      <c r="G13" s="37" t="s">
        <v>524</v>
      </c>
      <c r="H13" s="34"/>
      <c r="I13" s="5"/>
      <c r="J13" s="5"/>
      <c r="K13" s="5"/>
    </row>
    <row r="14" spans="1:11" ht="108.75" customHeight="1" x14ac:dyDescent="0.2">
      <c r="A14" s="33"/>
      <c r="B14" s="133" t="s">
        <v>211</v>
      </c>
      <c r="C14" s="133"/>
      <c r="D14" s="133"/>
      <c r="E14" s="133"/>
      <c r="F14" s="133"/>
      <c r="G14" s="31" t="s">
        <v>524</v>
      </c>
      <c r="H14" s="34"/>
      <c r="I14" s="5"/>
      <c r="J14" s="5"/>
      <c r="K14" s="5"/>
    </row>
    <row r="15" spans="1:11" ht="43.5" customHeight="1" x14ac:dyDescent="0.2">
      <c r="B15" s="111" t="s">
        <v>625</v>
      </c>
      <c r="C15" s="111"/>
      <c r="D15" s="111"/>
      <c r="E15" s="111"/>
      <c r="F15" s="111"/>
      <c r="G15" s="31" t="s">
        <v>524</v>
      </c>
      <c r="H15" s="5"/>
      <c r="I15" s="5"/>
      <c r="J15" s="5"/>
      <c r="K15" s="5"/>
    </row>
    <row r="16" spans="1:11" x14ac:dyDescent="0.2">
      <c r="B16" s="3"/>
      <c r="C16" s="32"/>
      <c r="D16" s="5"/>
      <c r="E16" s="5"/>
      <c r="F16" s="5"/>
      <c r="G16" s="5"/>
      <c r="H16" s="5"/>
      <c r="I16" s="5"/>
      <c r="J16" s="5"/>
      <c r="K16" s="5"/>
    </row>
    <row r="17" spans="1:11" x14ac:dyDescent="0.2">
      <c r="A17" s="119" t="s">
        <v>356</v>
      </c>
      <c r="B17" s="124"/>
      <c r="C17" s="125"/>
      <c r="D17" s="126"/>
      <c r="E17" s="127"/>
      <c r="F17" s="128" t="s">
        <v>334</v>
      </c>
      <c r="G17" s="129"/>
      <c r="H17" s="120"/>
      <c r="I17" s="130"/>
      <c r="J17" s="131"/>
      <c r="K17" s="132"/>
    </row>
    <row r="18" spans="1:11" x14ac:dyDescent="0.2">
      <c r="A18" s="119" t="s">
        <v>335</v>
      </c>
      <c r="B18" s="120"/>
      <c r="C18" s="121"/>
      <c r="D18" s="122"/>
      <c r="E18" s="122"/>
      <c r="F18" s="122"/>
      <c r="G18" s="122"/>
      <c r="H18" s="122"/>
      <c r="I18" s="122"/>
      <c r="J18" s="122"/>
      <c r="K18" s="123"/>
    </row>
  </sheetData>
  <mergeCells count="12">
    <mergeCell ref="A18:B18"/>
    <mergeCell ref="C18:K18"/>
    <mergeCell ref="B14:F14"/>
    <mergeCell ref="B15:F15"/>
    <mergeCell ref="A17:B17"/>
    <mergeCell ref="C17:E17"/>
    <mergeCell ref="F17:H17"/>
    <mergeCell ref="A4:B4"/>
    <mergeCell ref="C4:K4"/>
    <mergeCell ref="B6:K6"/>
    <mergeCell ref="B13:F13"/>
    <mergeCell ref="I17:K17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3"/>
  <dimension ref="A2:K15"/>
  <sheetViews>
    <sheetView view="pageLayout" topLeftCell="A16" zoomScaleNormal="100" zoomScaleSheetLayoutView="100" workbookViewId="0">
      <selection activeCell="H9" sqref="H9"/>
    </sheetView>
  </sheetViews>
  <sheetFormatPr defaultRowHeight="12.75" x14ac:dyDescent="0.2"/>
  <cols>
    <col min="1" max="1" width="4.28515625" customWidth="1"/>
    <col min="2" max="2" width="19.42578125" customWidth="1"/>
    <col min="3" max="3" width="8.85546875" customWidth="1"/>
    <col min="4" max="4" width="12.28515625" customWidth="1"/>
    <col min="5" max="5" width="12.42578125" customWidth="1"/>
    <col min="6" max="6" width="14.7109375" customWidth="1"/>
    <col min="7" max="7" width="12" customWidth="1"/>
    <col min="8" max="8" width="16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52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47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114" t="s">
        <v>333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0" t="s">
        <v>550</v>
      </c>
      <c r="C9" s="31" t="s">
        <v>551</v>
      </c>
      <c r="D9" s="31">
        <v>2007</v>
      </c>
      <c r="E9" s="50">
        <v>44225</v>
      </c>
      <c r="F9" s="31"/>
      <c r="G9" s="31"/>
      <c r="H9" s="31"/>
      <c r="I9" s="5"/>
      <c r="J9" s="5"/>
      <c r="K9" s="5"/>
    </row>
    <row r="10" spans="1:11" ht="126.75" customHeight="1" x14ac:dyDescent="0.2">
      <c r="A10" s="33"/>
      <c r="B10" s="110" t="s">
        <v>552</v>
      </c>
      <c r="C10" s="110"/>
      <c r="D10" s="110"/>
      <c r="E10" s="110"/>
      <c r="F10" s="110"/>
      <c r="G10" s="31" t="s">
        <v>524</v>
      </c>
      <c r="H10" s="34"/>
      <c r="I10" s="5"/>
      <c r="J10" s="5"/>
      <c r="K10" s="5"/>
    </row>
    <row r="11" spans="1:11" ht="69" customHeight="1" x14ac:dyDescent="0.2">
      <c r="A11" s="33"/>
      <c r="B11" s="110" t="s">
        <v>594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</row>
    <row r="12" spans="1:11" ht="57" customHeight="1" x14ac:dyDescent="0.2">
      <c r="A12" s="33"/>
      <c r="B12" s="110" t="s">
        <v>626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</row>
    <row r="13" spans="1:11" x14ac:dyDescent="0.2">
      <c r="A13" s="33"/>
      <c r="B13" s="33"/>
      <c r="C13" s="34"/>
      <c r="D13" s="34"/>
      <c r="E13" s="34"/>
      <c r="F13" s="34"/>
      <c r="G13" s="34"/>
      <c r="H13" s="34"/>
      <c r="I13" s="5"/>
      <c r="J13" s="5"/>
      <c r="K13" s="5"/>
    </row>
    <row r="14" spans="1:11" x14ac:dyDescent="0.2">
      <c r="A14" s="119" t="s">
        <v>332</v>
      </c>
      <c r="B14" s="124"/>
      <c r="C14" s="125">
        <f>H9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A6:K6"/>
    <mergeCell ref="B10:F10"/>
    <mergeCell ref="I14:K14"/>
  </mergeCells>
  <phoneticPr fontId="10" type="noConversion"/>
  <pageMargins left="0.75" right="0.75" top="1" bottom="1" header="0.5" footer="0.5"/>
  <pageSetup paperSize="9" scale="60" orientation="portrait" r:id="rId1"/>
  <headerFooter alignWithMargins="0"/>
  <legacy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4"/>
  <dimension ref="A2:K79"/>
  <sheetViews>
    <sheetView view="pageLayout" topLeftCell="A73" zoomScaleNormal="100" zoomScaleSheetLayoutView="100" workbookViewId="0">
      <selection activeCell="H9" sqref="H9:H73"/>
    </sheetView>
  </sheetViews>
  <sheetFormatPr defaultRowHeight="12.75" x14ac:dyDescent="0.2"/>
  <cols>
    <col min="1" max="1" width="4.28515625" customWidth="1"/>
    <col min="2" max="2" width="19.42578125" customWidth="1"/>
    <col min="3" max="3" width="14.85546875" bestFit="1" customWidth="1"/>
    <col min="4" max="4" width="12.28515625" customWidth="1"/>
    <col min="5" max="5" width="12.42578125" customWidth="1"/>
    <col min="6" max="6" width="14.7109375" customWidth="1"/>
    <col min="7" max="7" width="12" customWidth="1"/>
    <col min="8" max="8" width="16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53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359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114" t="s">
        <v>333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8" t="s">
        <v>360</v>
      </c>
      <c r="C9" s="58" t="s">
        <v>361</v>
      </c>
      <c r="D9" s="58">
        <v>2003</v>
      </c>
      <c r="E9" s="63">
        <v>44177</v>
      </c>
      <c r="F9" s="31"/>
      <c r="G9" s="31"/>
      <c r="H9" s="31"/>
      <c r="I9" s="5"/>
      <c r="J9" s="5"/>
      <c r="K9" s="5"/>
    </row>
    <row r="10" spans="1:11" x14ac:dyDescent="0.2">
      <c r="A10" s="30">
        <v>2</v>
      </c>
      <c r="B10" s="58" t="s">
        <v>360</v>
      </c>
      <c r="C10" s="58" t="s">
        <v>362</v>
      </c>
      <c r="D10" s="58">
        <v>2008</v>
      </c>
      <c r="E10" s="63">
        <v>44177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58" t="s">
        <v>360</v>
      </c>
      <c r="C11" s="58" t="s">
        <v>363</v>
      </c>
      <c r="D11" s="58">
        <v>2008</v>
      </c>
      <c r="E11" s="63">
        <v>44177</v>
      </c>
      <c r="F11" s="31"/>
      <c r="G11" s="31"/>
      <c r="H11" s="31"/>
      <c r="I11" s="5"/>
      <c r="J11" s="5"/>
      <c r="K11" s="5"/>
    </row>
    <row r="12" spans="1:11" x14ac:dyDescent="0.2">
      <c r="A12" s="30">
        <v>4</v>
      </c>
      <c r="B12" s="58" t="s">
        <v>360</v>
      </c>
      <c r="C12" s="58" t="s">
        <v>364</v>
      </c>
      <c r="D12" s="58">
        <v>2010</v>
      </c>
      <c r="E12" s="63">
        <v>44177</v>
      </c>
      <c r="F12" s="31"/>
      <c r="G12" s="31"/>
      <c r="H12" s="31"/>
      <c r="I12" s="5"/>
      <c r="J12" s="5"/>
      <c r="K12" s="5"/>
    </row>
    <row r="13" spans="1:11" x14ac:dyDescent="0.2">
      <c r="A13" s="30">
        <v>5</v>
      </c>
      <c r="B13" s="58" t="s">
        <v>365</v>
      </c>
      <c r="C13" s="58" t="s">
        <v>366</v>
      </c>
      <c r="D13" s="58">
        <v>2013</v>
      </c>
      <c r="E13" s="63">
        <v>44177</v>
      </c>
      <c r="F13" s="31"/>
      <c r="G13" s="31"/>
      <c r="H13" s="31"/>
      <c r="I13" s="5"/>
      <c r="J13" s="5"/>
      <c r="K13" s="5"/>
    </row>
    <row r="14" spans="1:11" x14ac:dyDescent="0.2">
      <c r="A14" s="30">
        <v>6</v>
      </c>
      <c r="B14" s="58" t="s">
        <v>367</v>
      </c>
      <c r="C14" s="58" t="s">
        <v>368</v>
      </c>
      <c r="D14" s="58">
        <v>2002</v>
      </c>
      <c r="E14" s="63">
        <v>44177</v>
      </c>
      <c r="F14" s="31"/>
      <c r="G14" s="31"/>
      <c r="H14" s="31"/>
      <c r="I14" s="5"/>
      <c r="J14" s="5"/>
      <c r="K14" s="5"/>
    </row>
    <row r="15" spans="1:11" x14ac:dyDescent="0.2">
      <c r="A15" s="30">
        <v>7</v>
      </c>
      <c r="B15" s="58" t="s">
        <v>367</v>
      </c>
      <c r="C15" s="58" t="s">
        <v>369</v>
      </c>
      <c r="D15" s="58">
        <v>2002</v>
      </c>
      <c r="E15" s="63">
        <v>44177</v>
      </c>
      <c r="F15" s="31"/>
      <c r="G15" s="31"/>
      <c r="H15" s="31"/>
      <c r="I15" s="5"/>
      <c r="J15" s="5"/>
      <c r="K15" s="5"/>
    </row>
    <row r="16" spans="1:11" x14ac:dyDescent="0.2">
      <c r="A16" s="30">
        <v>8</v>
      </c>
      <c r="B16" s="58" t="s">
        <v>370</v>
      </c>
      <c r="C16" s="58" t="s">
        <v>371</v>
      </c>
      <c r="D16" s="58">
        <v>2006</v>
      </c>
      <c r="E16" s="63">
        <v>44177</v>
      </c>
      <c r="F16" s="31"/>
      <c r="G16" s="31"/>
      <c r="H16" s="31"/>
      <c r="I16" s="5"/>
      <c r="J16" s="5"/>
      <c r="K16" s="5"/>
    </row>
    <row r="17" spans="1:11" x14ac:dyDescent="0.2">
      <c r="A17" s="30">
        <v>9</v>
      </c>
      <c r="B17" s="58" t="s">
        <v>370</v>
      </c>
      <c r="C17" s="58" t="s">
        <v>372</v>
      </c>
      <c r="D17" s="58">
        <v>2006</v>
      </c>
      <c r="E17" s="63">
        <v>44177</v>
      </c>
      <c r="F17" s="31"/>
      <c r="G17" s="31"/>
      <c r="H17" s="31"/>
      <c r="I17" s="5"/>
      <c r="J17" s="5"/>
      <c r="K17" s="5"/>
    </row>
    <row r="18" spans="1:11" x14ac:dyDescent="0.2">
      <c r="A18" s="30">
        <v>10</v>
      </c>
      <c r="B18" s="58" t="s">
        <v>370</v>
      </c>
      <c r="C18" s="58" t="s">
        <v>373</v>
      </c>
      <c r="D18" s="58">
        <v>2008</v>
      </c>
      <c r="E18" s="63">
        <v>44177</v>
      </c>
      <c r="F18" s="31"/>
      <c r="G18" s="31"/>
      <c r="H18" s="31"/>
      <c r="I18" s="5"/>
      <c r="J18" s="5"/>
      <c r="K18" s="5"/>
    </row>
    <row r="19" spans="1:11" x14ac:dyDescent="0.2">
      <c r="A19" s="30">
        <v>11</v>
      </c>
      <c r="B19" s="58" t="s">
        <v>374</v>
      </c>
      <c r="C19" s="58" t="s">
        <v>375</v>
      </c>
      <c r="D19" s="58">
        <v>2006</v>
      </c>
      <c r="E19" s="63">
        <v>44177</v>
      </c>
      <c r="F19" s="31"/>
      <c r="G19" s="31"/>
      <c r="H19" s="31"/>
      <c r="I19" s="5"/>
      <c r="J19" s="5"/>
      <c r="K19" s="5"/>
    </row>
    <row r="20" spans="1:11" x14ac:dyDescent="0.2">
      <c r="A20" s="30">
        <v>12</v>
      </c>
      <c r="B20" s="58" t="s">
        <v>376</v>
      </c>
      <c r="C20" s="58" t="s">
        <v>377</v>
      </c>
      <c r="D20" s="58">
        <v>2010</v>
      </c>
      <c r="E20" s="63">
        <v>44177</v>
      </c>
      <c r="F20" s="31"/>
      <c r="G20" s="31"/>
      <c r="H20" s="31"/>
      <c r="I20" s="5"/>
      <c r="J20" s="5"/>
      <c r="K20" s="5"/>
    </row>
    <row r="21" spans="1:11" x14ac:dyDescent="0.2">
      <c r="A21" s="30">
        <v>13</v>
      </c>
      <c r="B21" s="58" t="s">
        <v>378</v>
      </c>
      <c r="C21" s="58" t="s">
        <v>379</v>
      </c>
      <c r="D21" s="58">
        <v>2007</v>
      </c>
      <c r="E21" s="63">
        <v>44177</v>
      </c>
      <c r="F21" s="31"/>
      <c r="G21" s="31"/>
      <c r="H21" s="31"/>
      <c r="I21" s="5"/>
      <c r="J21" s="5"/>
      <c r="K21" s="5"/>
    </row>
    <row r="22" spans="1:11" x14ac:dyDescent="0.2">
      <c r="A22" s="30">
        <v>14</v>
      </c>
      <c r="B22" s="58" t="s">
        <v>378</v>
      </c>
      <c r="C22" s="58" t="s">
        <v>380</v>
      </c>
      <c r="D22" s="58">
        <v>2010</v>
      </c>
      <c r="E22" s="63">
        <v>44177</v>
      </c>
      <c r="F22" s="31"/>
      <c r="G22" s="31"/>
      <c r="H22" s="31"/>
      <c r="I22" s="5"/>
      <c r="J22" s="5"/>
      <c r="K22" s="5"/>
    </row>
    <row r="23" spans="1:11" x14ac:dyDescent="0.2">
      <c r="A23" s="30">
        <v>15</v>
      </c>
      <c r="B23" s="58" t="s">
        <v>378</v>
      </c>
      <c r="C23" s="58" t="s">
        <v>381</v>
      </c>
      <c r="D23" s="58">
        <v>2012</v>
      </c>
      <c r="E23" s="63">
        <v>44177</v>
      </c>
      <c r="F23" s="31"/>
      <c r="G23" s="31"/>
      <c r="H23" s="31"/>
      <c r="I23" s="5"/>
      <c r="J23" s="5"/>
      <c r="K23" s="5"/>
    </row>
    <row r="24" spans="1:11" x14ac:dyDescent="0.2">
      <c r="A24" s="30">
        <v>16</v>
      </c>
      <c r="B24" s="58" t="s">
        <v>378</v>
      </c>
      <c r="C24" s="58" t="s">
        <v>382</v>
      </c>
      <c r="D24" s="58">
        <v>2012</v>
      </c>
      <c r="E24" s="63">
        <v>44177</v>
      </c>
      <c r="F24" s="31"/>
      <c r="G24" s="31"/>
      <c r="H24" s="31"/>
      <c r="I24" s="5"/>
      <c r="J24" s="5"/>
      <c r="K24" s="5"/>
    </row>
    <row r="25" spans="1:11" x14ac:dyDescent="0.2">
      <c r="A25" s="30">
        <v>17</v>
      </c>
      <c r="B25" s="58" t="s">
        <v>378</v>
      </c>
      <c r="C25" s="58" t="s">
        <v>383</v>
      </c>
      <c r="D25" s="58">
        <v>2013</v>
      </c>
      <c r="E25" s="63">
        <v>44177</v>
      </c>
      <c r="F25" s="31"/>
      <c r="G25" s="31"/>
      <c r="H25" s="31"/>
      <c r="I25" s="5"/>
      <c r="J25" s="5"/>
      <c r="K25" s="5"/>
    </row>
    <row r="26" spans="1:11" x14ac:dyDescent="0.2">
      <c r="A26" s="30">
        <v>18</v>
      </c>
      <c r="B26" s="58" t="s">
        <v>384</v>
      </c>
      <c r="C26" s="58" t="s">
        <v>385</v>
      </c>
      <c r="D26" s="58">
        <v>2012</v>
      </c>
      <c r="E26" s="63">
        <v>44177</v>
      </c>
      <c r="F26" s="31"/>
      <c r="G26" s="31"/>
      <c r="H26" s="31"/>
      <c r="I26" s="5"/>
      <c r="J26" s="5"/>
      <c r="K26" s="5"/>
    </row>
    <row r="27" spans="1:11" x14ac:dyDescent="0.2">
      <c r="A27" s="30">
        <v>19</v>
      </c>
      <c r="B27" s="58" t="s">
        <v>386</v>
      </c>
      <c r="C27" s="58" t="s">
        <v>387</v>
      </c>
      <c r="D27" s="58">
        <v>2008</v>
      </c>
      <c r="E27" s="63">
        <v>44177</v>
      </c>
      <c r="F27" s="31"/>
      <c r="G27" s="31"/>
      <c r="H27" s="31"/>
      <c r="I27" s="5"/>
      <c r="J27" s="5"/>
      <c r="K27" s="5"/>
    </row>
    <row r="28" spans="1:11" x14ac:dyDescent="0.2">
      <c r="A28" s="30">
        <v>20</v>
      </c>
      <c r="B28" s="58" t="s">
        <v>388</v>
      </c>
      <c r="C28" s="58" t="s">
        <v>389</v>
      </c>
      <c r="D28" s="58">
        <v>2008</v>
      </c>
      <c r="E28" s="63">
        <v>44177</v>
      </c>
      <c r="F28" s="31"/>
      <c r="G28" s="31"/>
      <c r="H28" s="31"/>
      <c r="I28" s="5"/>
      <c r="J28" s="5"/>
      <c r="K28" s="5"/>
    </row>
    <row r="29" spans="1:11" x14ac:dyDescent="0.2">
      <c r="A29" s="30">
        <v>21</v>
      </c>
      <c r="B29" s="58" t="s">
        <v>388</v>
      </c>
      <c r="C29" s="58" t="s">
        <v>390</v>
      </c>
      <c r="D29" s="58">
        <v>2008</v>
      </c>
      <c r="E29" s="63">
        <v>44177</v>
      </c>
      <c r="F29" s="31"/>
      <c r="G29" s="31"/>
      <c r="H29" s="31"/>
      <c r="I29" s="5"/>
      <c r="J29" s="5"/>
      <c r="K29" s="5"/>
    </row>
    <row r="30" spans="1:11" x14ac:dyDescent="0.2">
      <c r="A30" s="30">
        <v>22</v>
      </c>
      <c r="B30" s="58" t="s">
        <v>388</v>
      </c>
      <c r="C30" s="58" t="s">
        <v>391</v>
      </c>
      <c r="D30" s="58">
        <v>2011</v>
      </c>
      <c r="E30" s="63">
        <v>44177</v>
      </c>
      <c r="F30" s="31"/>
      <c r="G30" s="31"/>
      <c r="H30" s="31"/>
      <c r="I30" s="5"/>
      <c r="J30" s="5"/>
      <c r="K30" s="5"/>
    </row>
    <row r="31" spans="1:11" x14ac:dyDescent="0.2">
      <c r="A31" s="30">
        <v>23</v>
      </c>
      <c r="B31" s="58" t="s">
        <v>388</v>
      </c>
      <c r="C31" s="58" t="s">
        <v>392</v>
      </c>
      <c r="D31" s="58">
        <v>2012</v>
      </c>
      <c r="E31" s="63">
        <v>44177</v>
      </c>
      <c r="F31" s="31"/>
      <c r="G31" s="31"/>
      <c r="H31" s="31"/>
      <c r="I31" s="5"/>
      <c r="J31" s="5"/>
      <c r="K31" s="5"/>
    </row>
    <row r="32" spans="1:11" x14ac:dyDescent="0.2">
      <c r="A32" s="30">
        <v>24</v>
      </c>
      <c r="B32" s="58" t="s">
        <v>393</v>
      </c>
      <c r="C32" s="58" t="s">
        <v>394</v>
      </c>
      <c r="D32" s="58">
        <v>2008</v>
      </c>
      <c r="E32" s="63">
        <v>44177</v>
      </c>
      <c r="F32" s="31"/>
      <c r="G32" s="31"/>
      <c r="H32" s="31"/>
      <c r="I32" s="5"/>
      <c r="J32" s="5"/>
      <c r="K32" s="5"/>
    </row>
    <row r="33" spans="1:11" x14ac:dyDescent="0.2">
      <c r="A33" s="30">
        <v>25</v>
      </c>
      <c r="B33" s="58" t="s">
        <v>393</v>
      </c>
      <c r="C33" s="58" t="s">
        <v>395</v>
      </c>
      <c r="D33" s="58">
        <v>2009</v>
      </c>
      <c r="E33" s="63">
        <v>44177</v>
      </c>
      <c r="F33" s="31"/>
      <c r="G33" s="31"/>
      <c r="H33" s="31"/>
      <c r="I33" s="5"/>
      <c r="J33" s="5"/>
      <c r="K33" s="5"/>
    </row>
    <row r="34" spans="1:11" x14ac:dyDescent="0.2">
      <c r="A34" s="30">
        <v>26</v>
      </c>
      <c r="B34" s="58" t="s">
        <v>393</v>
      </c>
      <c r="C34" s="58" t="s">
        <v>396</v>
      </c>
      <c r="D34" s="58">
        <v>2009</v>
      </c>
      <c r="E34" s="63">
        <v>44177</v>
      </c>
      <c r="F34" s="31"/>
      <c r="G34" s="31"/>
      <c r="H34" s="31"/>
      <c r="I34" s="5"/>
      <c r="J34" s="5"/>
      <c r="K34" s="5"/>
    </row>
    <row r="35" spans="1:11" x14ac:dyDescent="0.2">
      <c r="A35" s="30">
        <v>27</v>
      </c>
      <c r="B35" s="58" t="s">
        <v>393</v>
      </c>
      <c r="C35" s="58" t="s">
        <v>397</v>
      </c>
      <c r="D35" s="58">
        <v>2010</v>
      </c>
      <c r="E35" s="63">
        <v>44177</v>
      </c>
      <c r="F35" s="31"/>
      <c r="G35" s="31"/>
      <c r="H35" s="31"/>
      <c r="I35" s="5"/>
      <c r="J35" s="5"/>
      <c r="K35" s="5"/>
    </row>
    <row r="36" spans="1:11" x14ac:dyDescent="0.2">
      <c r="A36" s="30">
        <v>28</v>
      </c>
      <c r="B36" s="58" t="s">
        <v>393</v>
      </c>
      <c r="C36" s="58" t="s">
        <v>398</v>
      </c>
      <c r="D36" s="58">
        <v>2011</v>
      </c>
      <c r="E36" s="63">
        <v>44177</v>
      </c>
      <c r="F36" s="31"/>
      <c r="G36" s="31"/>
      <c r="H36" s="31"/>
      <c r="I36" s="5"/>
      <c r="J36" s="5"/>
      <c r="K36" s="5"/>
    </row>
    <row r="37" spans="1:11" x14ac:dyDescent="0.2">
      <c r="A37" s="30">
        <v>29</v>
      </c>
      <c r="B37" s="58" t="s">
        <v>393</v>
      </c>
      <c r="C37" s="58" t="s">
        <v>399</v>
      </c>
      <c r="D37" s="58">
        <v>2015</v>
      </c>
      <c r="E37" s="63">
        <v>44177</v>
      </c>
      <c r="F37" s="31"/>
      <c r="G37" s="31"/>
      <c r="H37" s="31"/>
      <c r="I37" s="5"/>
      <c r="J37" s="5"/>
      <c r="K37" s="5"/>
    </row>
    <row r="38" spans="1:11" x14ac:dyDescent="0.2">
      <c r="A38" s="30">
        <v>30</v>
      </c>
      <c r="B38" s="58" t="s">
        <v>393</v>
      </c>
      <c r="C38" s="58" t="s">
        <v>400</v>
      </c>
      <c r="D38" s="58">
        <v>2015</v>
      </c>
      <c r="E38" s="63">
        <v>44177</v>
      </c>
      <c r="F38" s="31"/>
      <c r="G38" s="31"/>
      <c r="H38" s="31"/>
      <c r="I38" s="5"/>
      <c r="J38" s="5"/>
      <c r="K38" s="5"/>
    </row>
    <row r="39" spans="1:11" x14ac:dyDescent="0.2">
      <c r="A39" s="30">
        <v>31</v>
      </c>
      <c r="B39" s="58" t="s">
        <v>401</v>
      </c>
      <c r="C39" s="58" t="s">
        <v>402</v>
      </c>
      <c r="D39" s="58">
        <v>2002</v>
      </c>
      <c r="E39" s="63">
        <v>44177</v>
      </c>
      <c r="F39" s="31"/>
      <c r="G39" s="31"/>
      <c r="H39" s="31"/>
      <c r="I39" s="5"/>
      <c r="J39" s="5"/>
      <c r="K39" s="5"/>
    </row>
    <row r="40" spans="1:11" x14ac:dyDescent="0.2">
      <c r="A40" s="30">
        <v>32</v>
      </c>
      <c r="B40" s="58" t="s">
        <v>401</v>
      </c>
      <c r="C40" s="58" t="s">
        <v>403</v>
      </c>
      <c r="D40" s="58">
        <v>2002</v>
      </c>
      <c r="E40" s="63">
        <v>44177</v>
      </c>
      <c r="F40" s="31"/>
      <c r="G40" s="31"/>
      <c r="H40" s="31"/>
      <c r="I40" s="5"/>
      <c r="J40" s="5"/>
      <c r="K40" s="5"/>
    </row>
    <row r="41" spans="1:11" x14ac:dyDescent="0.2">
      <c r="A41" s="30">
        <v>33</v>
      </c>
      <c r="B41" s="58" t="s">
        <v>404</v>
      </c>
      <c r="C41" s="58" t="s">
        <v>405</v>
      </c>
      <c r="D41" s="58">
        <v>2013</v>
      </c>
      <c r="E41" s="63">
        <v>44177</v>
      </c>
      <c r="F41" s="31"/>
      <c r="G41" s="31"/>
      <c r="H41" s="31"/>
      <c r="I41" s="5"/>
      <c r="J41" s="5"/>
      <c r="K41" s="5"/>
    </row>
    <row r="42" spans="1:11" x14ac:dyDescent="0.2">
      <c r="A42" s="30">
        <v>34</v>
      </c>
      <c r="B42" s="58" t="s">
        <v>406</v>
      </c>
      <c r="C42" s="58" t="s">
        <v>407</v>
      </c>
      <c r="D42" s="58">
        <v>2003</v>
      </c>
      <c r="E42" s="63">
        <v>44177</v>
      </c>
      <c r="F42" s="31"/>
      <c r="G42" s="31"/>
      <c r="H42" s="31"/>
      <c r="I42" s="5"/>
      <c r="J42" s="5"/>
      <c r="K42" s="5"/>
    </row>
    <row r="43" spans="1:11" x14ac:dyDescent="0.2">
      <c r="A43" s="30">
        <v>35</v>
      </c>
      <c r="B43" s="58" t="s">
        <v>406</v>
      </c>
      <c r="C43" s="58" t="s">
        <v>408</v>
      </c>
      <c r="D43" s="58">
        <v>2006</v>
      </c>
      <c r="E43" s="63">
        <v>44177</v>
      </c>
      <c r="F43" s="31"/>
      <c r="G43" s="31"/>
      <c r="H43" s="31"/>
      <c r="I43" s="5"/>
      <c r="J43" s="5"/>
      <c r="K43" s="5"/>
    </row>
    <row r="44" spans="1:11" x14ac:dyDescent="0.2">
      <c r="A44" s="30">
        <v>36</v>
      </c>
      <c r="B44" s="58" t="s">
        <v>406</v>
      </c>
      <c r="C44" s="58" t="s">
        <v>409</v>
      </c>
      <c r="D44" s="58">
        <v>2006</v>
      </c>
      <c r="E44" s="63">
        <v>44177</v>
      </c>
      <c r="F44" s="31"/>
      <c r="G44" s="31"/>
      <c r="H44" s="31"/>
      <c r="I44" s="5"/>
      <c r="J44" s="5"/>
      <c r="K44" s="5"/>
    </row>
    <row r="45" spans="1:11" x14ac:dyDescent="0.2">
      <c r="A45" s="30">
        <v>37</v>
      </c>
      <c r="B45" s="58" t="s">
        <v>406</v>
      </c>
      <c r="C45" s="58" t="s">
        <v>410</v>
      </c>
      <c r="D45" s="58">
        <v>2006</v>
      </c>
      <c r="E45" s="63">
        <v>44177</v>
      </c>
      <c r="F45" s="31"/>
      <c r="G45" s="31"/>
      <c r="H45" s="31"/>
      <c r="I45" s="5"/>
      <c r="J45" s="5"/>
      <c r="K45" s="5"/>
    </row>
    <row r="46" spans="1:11" x14ac:dyDescent="0.2">
      <c r="A46" s="30">
        <v>38</v>
      </c>
      <c r="B46" s="58" t="s">
        <v>406</v>
      </c>
      <c r="C46" s="58" t="s">
        <v>411</v>
      </c>
      <c r="D46" s="58">
        <v>2007</v>
      </c>
      <c r="E46" s="63">
        <v>44177</v>
      </c>
      <c r="F46" s="31"/>
      <c r="G46" s="31"/>
      <c r="H46" s="31"/>
      <c r="I46" s="5"/>
      <c r="J46" s="5"/>
      <c r="K46" s="5"/>
    </row>
    <row r="47" spans="1:11" x14ac:dyDescent="0.2">
      <c r="A47" s="30">
        <v>39</v>
      </c>
      <c r="B47" s="58" t="s">
        <v>406</v>
      </c>
      <c r="C47" s="88">
        <v>1260509</v>
      </c>
      <c r="D47" s="58">
        <v>2008</v>
      </c>
      <c r="E47" s="63">
        <v>44177</v>
      </c>
      <c r="F47" s="31"/>
      <c r="G47" s="31"/>
      <c r="H47" s="31"/>
      <c r="I47" s="5"/>
      <c r="J47" s="5"/>
      <c r="K47" s="5"/>
    </row>
    <row r="48" spans="1:11" x14ac:dyDescent="0.2">
      <c r="A48" s="30">
        <v>40</v>
      </c>
      <c r="B48" s="58" t="s">
        <v>406</v>
      </c>
      <c r="C48" s="58" t="s">
        <v>412</v>
      </c>
      <c r="D48" s="58">
        <v>2008</v>
      </c>
      <c r="E48" s="63">
        <v>44177</v>
      </c>
      <c r="F48" s="31"/>
      <c r="G48" s="31"/>
      <c r="H48" s="31"/>
      <c r="I48" s="5"/>
      <c r="J48" s="5"/>
      <c r="K48" s="5"/>
    </row>
    <row r="49" spans="1:11" x14ac:dyDescent="0.2">
      <c r="A49" s="30">
        <v>41</v>
      </c>
      <c r="B49" s="58" t="s">
        <v>413</v>
      </c>
      <c r="C49" s="58" t="s">
        <v>414</v>
      </c>
      <c r="D49" s="58">
        <v>2012</v>
      </c>
      <c r="E49" s="63">
        <v>44177</v>
      </c>
      <c r="F49" s="31"/>
      <c r="G49" s="31"/>
      <c r="H49" s="31"/>
      <c r="I49" s="5"/>
      <c r="J49" s="5"/>
      <c r="K49" s="5"/>
    </row>
    <row r="50" spans="1:11" x14ac:dyDescent="0.2">
      <c r="A50" s="30">
        <v>42</v>
      </c>
      <c r="B50" s="58" t="s">
        <v>415</v>
      </c>
      <c r="C50" s="58" t="s">
        <v>416</v>
      </c>
      <c r="D50" s="58">
        <v>2006</v>
      </c>
      <c r="E50" s="63">
        <v>44177</v>
      </c>
      <c r="F50" s="31"/>
      <c r="G50" s="31"/>
      <c r="H50" s="31"/>
      <c r="I50" s="5"/>
      <c r="J50" s="5"/>
      <c r="K50" s="5"/>
    </row>
    <row r="51" spans="1:11" x14ac:dyDescent="0.2">
      <c r="A51" s="30">
        <v>43</v>
      </c>
      <c r="B51" s="58" t="s">
        <v>415</v>
      </c>
      <c r="C51" s="58" t="s">
        <v>417</v>
      </c>
      <c r="D51" s="58">
        <v>2006</v>
      </c>
      <c r="E51" s="63">
        <v>44177</v>
      </c>
      <c r="F51" s="31"/>
      <c r="G51" s="31"/>
      <c r="H51" s="31"/>
      <c r="I51" s="5"/>
      <c r="J51" s="5"/>
      <c r="K51" s="5"/>
    </row>
    <row r="52" spans="1:11" x14ac:dyDescent="0.2">
      <c r="A52" s="30">
        <v>44</v>
      </c>
      <c r="B52" s="58" t="s">
        <v>418</v>
      </c>
      <c r="C52" s="58" t="s">
        <v>419</v>
      </c>
      <c r="D52" s="58">
        <v>2014</v>
      </c>
      <c r="E52" s="63">
        <v>44177</v>
      </c>
      <c r="F52" s="31"/>
      <c r="G52" s="31"/>
      <c r="H52" s="31"/>
      <c r="I52" s="5"/>
      <c r="J52" s="5"/>
      <c r="K52" s="5"/>
    </row>
    <row r="53" spans="1:11" x14ac:dyDescent="0.2">
      <c r="A53" s="30">
        <v>45</v>
      </c>
      <c r="B53" s="58" t="s">
        <v>418</v>
      </c>
      <c r="C53" s="58" t="s">
        <v>420</v>
      </c>
      <c r="D53" s="58">
        <v>2014</v>
      </c>
      <c r="E53" s="63">
        <v>44177</v>
      </c>
      <c r="F53" s="31"/>
      <c r="G53" s="31"/>
      <c r="H53" s="31"/>
      <c r="I53" s="5"/>
      <c r="J53" s="5"/>
      <c r="K53" s="5"/>
    </row>
    <row r="54" spans="1:11" x14ac:dyDescent="0.2">
      <c r="A54" s="30">
        <v>46</v>
      </c>
      <c r="B54" s="58" t="s">
        <v>421</v>
      </c>
      <c r="C54" s="58" t="s">
        <v>422</v>
      </c>
      <c r="D54" s="58">
        <v>2010</v>
      </c>
      <c r="E54" s="63">
        <v>44177</v>
      </c>
      <c r="F54" s="31"/>
      <c r="G54" s="31"/>
      <c r="H54" s="31"/>
      <c r="I54" s="5"/>
      <c r="J54" s="5"/>
      <c r="K54" s="5"/>
    </row>
    <row r="55" spans="1:11" x14ac:dyDescent="0.2">
      <c r="A55" s="30">
        <v>47</v>
      </c>
      <c r="B55" s="58" t="s">
        <v>421</v>
      </c>
      <c r="C55" s="58" t="s">
        <v>423</v>
      </c>
      <c r="D55" s="58">
        <v>2010</v>
      </c>
      <c r="E55" s="63">
        <v>44177</v>
      </c>
      <c r="F55" s="31"/>
      <c r="G55" s="31"/>
      <c r="H55" s="31"/>
      <c r="I55" s="5"/>
      <c r="J55" s="5"/>
      <c r="K55" s="5"/>
    </row>
    <row r="56" spans="1:11" x14ac:dyDescent="0.2">
      <c r="A56" s="30">
        <v>48</v>
      </c>
      <c r="B56" s="58" t="s">
        <v>421</v>
      </c>
      <c r="C56" s="58" t="s">
        <v>424</v>
      </c>
      <c r="D56" s="58">
        <v>2010</v>
      </c>
      <c r="E56" s="63">
        <v>44177</v>
      </c>
      <c r="F56" s="31"/>
      <c r="G56" s="31"/>
      <c r="H56" s="31"/>
      <c r="I56" s="5"/>
      <c r="J56" s="5"/>
      <c r="K56" s="5"/>
    </row>
    <row r="57" spans="1:11" x14ac:dyDescent="0.2">
      <c r="A57" s="30">
        <v>49</v>
      </c>
      <c r="B57" s="58" t="s">
        <v>421</v>
      </c>
      <c r="C57" s="58" t="s">
        <v>425</v>
      </c>
      <c r="D57" s="58">
        <v>2010</v>
      </c>
      <c r="E57" s="63">
        <v>44177</v>
      </c>
      <c r="F57" s="31"/>
      <c r="G57" s="31"/>
      <c r="H57" s="31"/>
      <c r="I57" s="5"/>
      <c r="J57" s="5"/>
      <c r="K57" s="5"/>
    </row>
    <row r="58" spans="1:11" x14ac:dyDescent="0.2">
      <c r="A58" s="30">
        <v>50</v>
      </c>
      <c r="B58" s="58" t="s">
        <v>421</v>
      </c>
      <c r="C58" s="58" t="s">
        <v>426</v>
      </c>
      <c r="D58" s="58">
        <v>2010</v>
      </c>
      <c r="E58" s="63">
        <v>44177</v>
      </c>
      <c r="F58" s="31"/>
      <c r="G58" s="31"/>
      <c r="H58" s="31"/>
      <c r="I58" s="5"/>
      <c r="J58" s="5"/>
      <c r="K58" s="5"/>
    </row>
    <row r="59" spans="1:11" x14ac:dyDescent="0.2">
      <c r="A59" s="30">
        <v>51</v>
      </c>
      <c r="B59" s="58" t="s">
        <v>421</v>
      </c>
      <c r="C59" s="58" t="s">
        <v>427</v>
      </c>
      <c r="D59" s="58">
        <v>2013</v>
      </c>
      <c r="E59" s="63">
        <v>44177</v>
      </c>
      <c r="F59" s="31"/>
      <c r="G59" s="31"/>
      <c r="H59" s="31"/>
      <c r="I59" s="5"/>
      <c r="J59" s="5"/>
      <c r="K59" s="5"/>
    </row>
    <row r="60" spans="1:11" x14ac:dyDescent="0.2">
      <c r="A60" s="30">
        <v>52</v>
      </c>
      <c r="B60" s="58" t="s">
        <v>421</v>
      </c>
      <c r="C60" s="58" t="s">
        <v>428</v>
      </c>
      <c r="D60" s="58">
        <v>2013</v>
      </c>
      <c r="E60" s="63">
        <v>44177</v>
      </c>
      <c r="F60" s="31"/>
      <c r="G60" s="31"/>
      <c r="H60" s="31"/>
      <c r="I60" s="5"/>
      <c r="J60" s="5"/>
      <c r="K60" s="5"/>
    </row>
    <row r="61" spans="1:11" x14ac:dyDescent="0.2">
      <c r="A61" s="30">
        <v>53</v>
      </c>
      <c r="B61" s="58" t="s">
        <v>421</v>
      </c>
      <c r="C61" s="58" t="s">
        <v>429</v>
      </c>
      <c r="D61" s="58">
        <v>2013</v>
      </c>
      <c r="E61" s="63">
        <v>44177</v>
      </c>
      <c r="F61" s="31"/>
      <c r="G61" s="31"/>
      <c r="H61" s="31"/>
      <c r="I61" s="5"/>
      <c r="J61" s="5"/>
      <c r="K61" s="5"/>
    </row>
    <row r="62" spans="1:11" x14ac:dyDescent="0.2">
      <c r="A62" s="30">
        <v>54</v>
      </c>
      <c r="B62" s="58" t="s">
        <v>421</v>
      </c>
      <c r="C62" s="58" t="s">
        <v>430</v>
      </c>
      <c r="D62" s="58">
        <v>2013</v>
      </c>
      <c r="E62" s="63">
        <v>44177</v>
      </c>
      <c r="F62" s="31"/>
      <c r="G62" s="31"/>
      <c r="H62" s="31"/>
      <c r="I62" s="5"/>
      <c r="J62" s="5"/>
      <c r="K62" s="5"/>
    </row>
    <row r="63" spans="1:11" x14ac:dyDescent="0.2">
      <c r="A63" s="30">
        <v>55</v>
      </c>
      <c r="B63" s="58" t="s">
        <v>421</v>
      </c>
      <c r="C63" s="58" t="s">
        <v>431</v>
      </c>
      <c r="D63" s="58">
        <v>2013</v>
      </c>
      <c r="E63" s="63">
        <v>44177</v>
      </c>
      <c r="F63" s="31"/>
      <c r="G63" s="31"/>
      <c r="H63" s="31"/>
      <c r="I63" s="5"/>
      <c r="J63" s="5"/>
      <c r="K63" s="5"/>
    </row>
    <row r="64" spans="1:11" x14ac:dyDescent="0.2">
      <c r="A64" s="30">
        <v>56</v>
      </c>
      <c r="B64" s="58" t="s">
        <v>432</v>
      </c>
      <c r="C64" s="58" t="s">
        <v>433</v>
      </c>
      <c r="D64" s="58">
        <v>1989</v>
      </c>
      <c r="E64" s="63">
        <v>44177</v>
      </c>
      <c r="F64" s="31"/>
      <c r="G64" s="31"/>
      <c r="H64" s="31"/>
      <c r="I64" s="5"/>
      <c r="J64" s="5"/>
      <c r="K64" s="5"/>
    </row>
    <row r="65" spans="1:11" x14ac:dyDescent="0.2">
      <c r="A65" s="30">
        <v>57</v>
      </c>
      <c r="B65" s="58" t="s">
        <v>432</v>
      </c>
      <c r="C65" s="58" t="s">
        <v>434</v>
      </c>
      <c r="D65" s="58">
        <v>2000</v>
      </c>
      <c r="E65" s="63">
        <v>44177</v>
      </c>
      <c r="F65" s="31"/>
      <c r="G65" s="31"/>
      <c r="H65" s="31"/>
      <c r="I65" s="5"/>
      <c r="J65" s="5"/>
      <c r="K65" s="5"/>
    </row>
    <row r="66" spans="1:11" x14ac:dyDescent="0.2">
      <c r="A66" s="30">
        <v>58</v>
      </c>
      <c r="B66" s="58" t="s">
        <v>432</v>
      </c>
      <c r="C66" s="58" t="s">
        <v>435</v>
      </c>
      <c r="D66" s="58">
        <v>2000</v>
      </c>
      <c r="E66" s="63">
        <v>44177</v>
      </c>
      <c r="F66" s="31"/>
      <c r="G66" s="31"/>
      <c r="H66" s="31"/>
      <c r="I66" s="5"/>
      <c r="J66" s="5"/>
      <c r="K66" s="5"/>
    </row>
    <row r="67" spans="1:11" x14ac:dyDescent="0.2">
      <c r="A67" s="30">
        <v>59</v>
      </c>
      <c r="B67" s="58" t="s">
        <v>432</v>
      </c>
      <c r="C67" s="58" t="s">
        <v>436</v>
      </c>
      <c r="D67" s="58">
        <v>2006</v>
      </c>
      <c r="E67" s="63">
        <v>44177</v>
      </c>
      <c r="F67" s="31"/>
      <c r="G67" s="31"/>
      <c r="H67" s="31"/>
      <c r="I67" s="5"/>
      <c r="J67" s="5"/>
      <c r="K67" s="5"/>
    </row>
    <row r="68" spans="1:11" x14ac:dyDescent="0.2">
      <c r="A68" s="30">
        <v>60</v>
      </c>
      <c r="B68" s="58" t="s">
        <v>437</v>
      </c>
      <c r="C68" s="58" t="s">
        <v>438</v>
      </c>
      <c r="D68" s="58">
        <v>2000</v>
      </c>
      <c r="E68" s="63">
        <v>44177</v>
      </c>
      <c r="F68" s="31"/>
      <c r="G68" s="31"/>
      <c r="H68" s="31"/>
      <c r="I68" s="5"/>
      <c r="J68" s="5"/>
      <c r="K68" s="5"/>
    </row>
    <row r="69" spans="1:11" x14ac:dyDescent="0.2">
      <c r="A69" s="30">
        <v>61</v>
      </c>
      <c r="B69" s="58" t="s">
        <v>437</v>
      </c>
      <c r="C69" s="58" t="s">
        <v>439</v>
      </c>
      <c r="D69" s="58">
        <v>2000</v>
      </c>
      <c r="E69" s="63">
        <v>44177</v>
      </c>
      <c r="F69" s="31"/>
      <c r="G69" s="31"/>
      <c r="H69" s="31"/>
      <c r="I69" s="5"/>
      <c r="J69" s="5"/>
      <c r="K69" s="5"/>
    </row>
    <row r="70" spans="1:11" x14ac:dyDescent="0.2">
      <c r="A70" s="30">
        <v>62</v>
      </c>
      <c r="B70" s="58" t="s">
        <v>437</v>
      </c>
      <c r="C70" s="58" t="s">
        <v>440</v>
      </c>
      <c r="D70" s="58">
        <v>2006</v>
      </c>
      <c r="E70" s="63">
        <v>44177</v>
      </c>
      <c r="F70" s="31"/>
      <c r="G70" s="31"/>
      <c r="H70" s="31"/>
      <c r="I70" s="5"/>
      <c r="J70" s="5"/>
      <c r="K70" s="5"/>
    </row>
    <row r="71" spans="1:11" x14ac:dyDescent="0.2">
      <c r="A71" s="30">
        <v>63</v>
      </c>
      <c r="B71" s="58" t="s">
        <v>437</v>
      </c>
      <c r="C71" s="58" t="s">
        <v>441</v>
      </c>
      <c r="D71" s="58">
        <v>2008</v>
      </c>
      <c r="E71" s="63">
        <v>44177</v>
      </c>
      <c r="F71" s="31"/>
      <c r="G71" s="31"/>
      <c r="H71" s="31"/>
      <c r="I71" s="5"/>
      <c r="J71" s="5"/>
      <c r="K71" s="5"/>
    </row>
    <row r="72" spans="1:11" x14ac:dyDescent="0.2">
      <c r="A72" s="30">
        <v>64</v>
      </c>
      <c r="B72" s="58" t="s">
        <v>437</v>
      </c>
      <c r="C72" s="58" t="s">
        <v>442</v>
      </c>
      <c r="D72" s="58">
        <v>2008</v>
      </c>
      <c r="E72" s="63">
        <v>44177</v>
      </c>
      <c r="F72" s="31"/>
      <c r="G72" s="31"/>
      <c r="H72" s="31"/>
      <c r="I72" s="5"/>
      <c r="J72" s="5"/>
      <c r="K72" s="5"/>
    </row>
    <row r="73" spans="1:11" x14ac:dyDescent="0.2">
      <c r="A73" s="30">
        <v>65</v>
      </c>
      <c r="B73" s="58" t="s">
        <v>437</v>
      </c>
      <c r="C73" s="58" t="s">
        <v>443</v>
      </c>
      <c r="D73" s="58">
        <v>2010</v>
      </c>
      <c r="E73" s="63">
        <v>44177</v>
      </c>
      <c r="F73" s="31"/>
      <c r="G73" s="31"/>
      <c r="H73" s="31"/>
      <c r="I73" s="5"/>
      <c r="J73" s="5"/>
      <c r="K73" s="5"/>
    </row>
    <row r="74" spans="1:11" ht="93.75" customHeight="1" x14ac:dyDescent="0.2">
      <c r="A74" s="33"/>
      <c r="B74" s="110" t="s">
        <v>444</v>
      </c>
      <c r="C74" s="110"/>
      <c r="D74" s="110"/>
      <c r="E74" s="110"/>
      <c r="F74" s="110"/>
      <c r="G74" s="31" t="s">
        <v>524</v>
      </c>
      <c r="H74" s="34"/>
      <c r="I74" s="5"/>
      <c r="J74" s="5"/>
      <c r="K74" s="5"/>
    </row>
    <row r="75" spans="1:11" ht="42.75" customHeight="1" x14ac:dyDescent="0.2">
      <c r="A75" s="33"/>
      <c r="B75" s="110" t="s">
        <v>585</v>
      </c>
      <c r="C75" s="110"/>
      <c r="D75" s="110"/>
      <c r="E75" s="110"/>
      <c r="F75" s="110"/>
      <c r="G75" s="31" t="s">
        <v>524</v>
      </c>
      <c r="H75" s="34"/>
      <c r="I75" s="5"/>
      <c r="J75" s="5"/>
      <c r="K75" s="5"/>
    </row>
    <row r="76" spans="1:11" ht="45" customHeight="1" x14ac:dyDescent="0.2">
      <c r="A76" s="33"/>
      <c r="B76" s="110" t="s">
        <v>445</v>
      </c>
      <c r="C76" s="110"/>
      <c r="D76" s="110"/>
      <c r="E76" s="110"/>
      <c r="F76" s="110"/>
      <c r="G76" s="31" t="s">
        <v>524</v>
      </c>
      <c r="H76" s="34"/>
      <c r="I76" s="5"/>
      <c r="J76" s="5"/>
      <c r="K76" s="5"/>
    </row>
    <row r="77" spans="1:11" x14ac:dyDescent="0.2">
      <c r="A77" s="33"/>
      <c r="B77" s="33"/>
      <c r="C77" s="34"/>
      <c r="D77" s="34"/>
      <c r="E77" s="34"/>
      <c r="F77" s="34"/>
      <c r="G77" s="34"/>
      <c r="H77" s="34"/>
      <c r="I77" s="5"/>
      <c r="J77" s="5"/>
      <c r="K77" s="5"/>
    </row>
    <row r="78" spans="1:11" x14ac:dyDescent="0.2">
      <c r="A78" s="119" t="s">
        <v>332</v>
      </c>
      <c r="B78" s="124"/>
      <c r="C78" s="125">
        <f>SUM(H9:H73)</f>
        <v>0</v>
      </c>
      <c r="D78" s="126"/>
      <c r="E78" s="127"/>
      <c r="F78" s="128" t="s">
        <v>334</v>
      </c>
      <c r="G78" s="129"/>
      <c r="H78" s="120"/>
      <c r="I78" s="130"/>
      <c r="J78" s="131"/>
      <c r="K78" s="132"/>
    </row>
    <row r="79" spans="1:11" x14ac:dyDescent="0.2">
      <c r="A79" s="119" t="s">
        <v>335</v>
      </c>
      <c r="B79" s="120"/>
      <c r="C79" s="121"/>
      <c r="D79" s="122"/>
      <c r="E79" s="122"/>
      <c r="F79" s="122"/>
      <c r="G79" s="122"/>
      <c r="H79" s="122"/>
      <c r="I79" s="122"/>
      <c r="J79" s="122"/>
      <c r="K79" s="123"/>
    </row>
  </sheetData>
  <mergeCells count="12">
    <mergeCell ref="A79:B79"/>
    <mergeCell ref="C79:K79"/>
    <mergeCell ref="B75:F75"/>
    <mergeCell ref="B76:F76"/>
    <mergeCell ref="A78:B78"/>
    <mergeCell ref="C78:E78"/>
    <mergeCell ref="F78:H78"/>
    <mergeCell ref="A4:B4"/>
    <mergeCell ref="C4:K4"/>
    <mergeCell ref="A6:K6"/>
    <mergeCell ref="B74:F74"/>
    <mergeCell ref="I78:K78"/>
  </mergeCells>
  <phoneticPr fontId="10" type="noConversion"/>
  <pageMargins left="0.75" right="0.75" top="1" bottom="1" header="0.5" footer="0.5"/>
  <pageSetup paperSize="9" scale="58" orientation="portrait" r:id="rId1"/>
  <headerFooter alignWithMargins="0"/>
  <legacy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5"/>
  <dimension ref="A2:K15"/>
  <sheetViews>
    <sheetView view="pageLayout" topLeftCell="A61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54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515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ht="38.25" x14ac:dyDescent="0.2">
      <c r="A9" s="30">
        <v>1</v>
      </c>
      <c r="B9" s="36" t="s">
        <v>62</v>
      </c>
      <c r="C9" s="52" t="s">
        <v>323</v>
      </c>
      <c r="D9" s="31">
        <v>2013</v>
      </c>
      <c r="E9" s="50">
        <v>44255</v>
      </c>
      <c r="F9" s="31"/>
      <c r="G9" s="31"/>
      <c r="H9" s="31"/>
      <c r="I9" s="5"/>
      <c r="J9" s="5"/>
      <c r="K9" s="5"/>
    </row>
    <row r="10" spans="1:11" ht="117" customHeight="1" x14ac:dyDescent="0.2">
      <c r="A10" s="33"/>
      <c r="B10" s="140" t="s">
        <v>537</v>
      </c>
      <c r="C10" s="141"/>
      <c r="D10" s="141"/>
      <c r="E10" s="141"/>
      <c r="F10" s="142"/>
      <c r="G10" s="37" t="s">
        <v>524</v>
      </c>
      <c r="H10" s="34"/>
      <c r="I10" s="5"/>
      <c r="J10" s="5"/>
      <c r="K10" s="5"/>
    </row>
    <row r="11" spans="1:11" ht="57.75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2.75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8" orientation="portrait" r:id="rId1"/>
  <headerFooter alignWithMargins="0"/>
  <legacy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6"/>
  <dimension ref="A2:K15"/>
  <sheetViews>
    <sheetView view="pageLayout" topLeftCell="A16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55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521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36" t="s">
        <v>522</v>
      </c>
      <c r="C9" s="52">
        <v>6844</v>
      </c>
      <c r="D9" s="31">
        <v>2015</v>
      </c>
      <c r="E9" s="50">
        <v>44057</v>
      </c>
      <c r="F9" s="31"/>
      <c r="G9" s="31"/>
      <c r="H9" s="31"/>
      <c r="I9" s="5"/>
      <c r="J9" s="5"/>
      <c r="K9" s="5"/>
    </row>
    <row r="10" spans="1:11" ht="105.75" customHeight="1" x14ac:dyDescent="0.2">
      <c r="A10" s="33"/>
      <c r="B10" s="140" t="s">
        <v>552</v>
      </c>
      <c r="C10" s="141"/>
      <c r="D10" s="141"/>
      <c r="E10" s="141"/>
      <c r="F10" s="142"/>
      <c r="G10" s="37" t="s">
        <v>524</v>
      </c>
      <c r="H10" s="34"/>
      <c r="I10" s="5"/>
      <c r="J10" s="5"/>
      <c r="K10" s="5"/>
    </row>
    <row r="11" spans="1:11" ht="57.75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2.75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8" orientation="portrait" r:id="rId1"/>
  <headerFooter alignWithMargins="0"/>
  <legacy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7"/>
  <dimension ref="A2:K50"/>
  <sheetViews>
    <sheetView view="pageLayout" topLeftCell="A67" zoomScaleNormal="100" zoomScaleSheetLayoutView="100" workbookViewId="0">
      <selection activeCell="H9" sqref="H9:H44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56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358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66" t="s">
        <v>171</v>
      </c>
      <c r="C9" s="66" t="s">
        <v>172</v>
      </c>
      <c r="D9" s="66">
        <v>2017</v>
      </c>
      <c r="E9" s="50">
        <v>44027</v>
      </c>
      <c r="F9" s="31"/>
      <c r="G9" s="31"/>
      <c r="H9" s="31"/>
      <c r="I9" s="5"/>
      <c r="J9" s="5"/>
      <c r="K9" s="5"/>
    </row>
    <row r="10" spans="1:11" x14ac:dyDescent="0.2">
      <c r="A10" s="30">
        <v>2</v>
      </c>
      <c r="B10" s="66" t="s">
        <v>173</v>
      </c>
      <c r="C10" s="66" t="s">
        <v>174</v>
      </c>
      <c r="D10" s="66">
        <v>2017</v>
      </c>
      <c r="E10" s="50">
        <v>44027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66" t="s">
        <v>143</v>
      </c>
      <c r="C11" s="66" t="s">
        <v>147</v>
      </c>
      <c r="D11" s="66">
        <v>2007</v>
      </c>
      <c r="E11" s="50">
        <v>44027</v>
      </c>
      <c r="F11" s="31"/>
      <c r="G11" s="31"/>
      <c r="H11" s="31"/>
      <c r="I11" s="5"/>
      <c r="J11" s="5"/>
      <c r="K11" s="5"/>
    </row>
    <row r="12" spans="1:11" x14ac:dyDescent="0.2">
      <c r="A12" s="30">
        <v>4</v>
      </c>
      <c r="B12" s="66" t="s">
        <v>156</v>
      </c>
      <c r="C12" s="66" t="s">
        <v>157</v>
      </c>
      <c r="D12" s="66">
        <v>2000</v>
      </c>
      <c r="E12" s="50">
        <v>44027</v>
      </c>
      <c r="F12" s="31"/>
      <c r="G12" s="31"/>
      <c r="H12" s="31"/>
      <c r="I12" s="5"/>
      <c r="J12" s="5"/>
      <c r="K12" s="5"/>
    </row>
    <row r="13" spans="1:11" x14ac:dyDescent="0.2">
      <c r="A13" s="30">
        <v>5</v>
      </c>
      <c r="B13" s="66" t="s">
        <v>162</v>
      </c>
      <c r="C13" s="66" t="s">
        <v>163</v>
      </c>
      <c r="D13" s="66">
        <v>2000</v>
      </c>
      <c r="E13" s="50">
        <v>44027</v>
      </c>
      <c r="F13" s="31"/>
      <c r="G13" s="31"/>
      <c r="H13" s="31"/>
      <c r="I13" s="5"/>
      <c r="J13" s="5"/>
      <c r="K13" s="5"/>
    </row>
    <row r="14" spans="1:11" x14ac:dyDescent="0.2">
      <c r="A14" s="30">
        <v>6</v>
      </c>
      <c r="B14" s="66" t="s">
        <v>164</v>
      </c>
      <c r="C14" s="66" t="s">
        <v>165</v>
      </c>
      <c r="D14" s="66">
        <v>2000</v>
      </c>
      <c r="E14" s="50">
        <v>44027</v>
      </c>
      <c r="F14" s="31"/>
      <c r="G14" s="31"/>
      <c r="H14" s="31"/>
      <c r="I14" s="5"/>
      <c r="J14" s="5"/>
      <c r="K14" s="5"/>
    </row>
    <row r="15" spans="1:11" ht="25.5" x14ac:dyDescent="0.2">
      <c r="A15" s="30">
        <v>7</v>
      </c>
      <c r="B15" s="66" t="s">
        <v>166</v>
      </c>
      <c r="C15" s="66" t="s">
        <v>167</v>
      </c>
      <c r="D15" s="66">
        <v>2016</v>
      </c>
      <c r="E15" s="50">
        <v>44027</v>
      </c>
      <c r="F15" s="31"/>
      <c r="G15" s="31"/>
      <c r="H15" s="31"/>
      <c r="I15" s="5"/>
      <c r="J15" s="5"/>
      <c r="K15" s="5"/>
    </row>
    <row r="16" spans="1:11" x14ac:dyDescent="0.2">
      <c r="A16" s="30">
        <v>8</v>
      </c>
      <c r="B16" s="66" t="s">
        <v>175</v>
      </c>
      <c r="C16" s="66" t="s">
        <v>176</v>
      </c>
      <c r="D16" s="66">
        <v>2011</v>
      </c>
      <c r="E16" s="50">
        <v>44027</v>
      </c>
      <c r="F16" s="31"/>
      <c r="G16" s="31"/>
      <c r="H16" s="31"/>
      <c r="I16" s="5"/>
      <c r="J16" s="5"/>
      <c r="K16" s="5"/>
    </row>
    <row r="17" spans="1:11" x14ac:dyDescent="0.2">
      <c r="A17" s="30">
        <v>9</v>
      </c>
      <c r="B17" s="66" t="s">
        <v>135</v>
      </c>
      <c r="C17" s="66" t="s">
        <v>136</v>
      </c>
      <c r="D17" s="66">
        <v>1985</v>
      </c>
      <c r="E17" s="50">
        <v>44027</v>
      </c>
      <c r="F17" s="31"/>
      <c r="G17" s="31"/>
      <c r="H17" s="31"/>
      <c r="I17" s="5"/>
      <c r="J17" s="5"/>
      <c r="K17" s="5"/>
    </row>
    <row r="18" spans="1:11" x14ac:dyDescent="0.2">
      <c r="A18" s="30">
        <v>10</v>
      </c>
      <c r="B18" s="66" t="s">
        <v>135</v>
      </c>
      <c r="C18" s="66" t="s">
        <v>137</v>
      </c>
      <c r="D18" s="66">
        <v>1985</v>
      </c>
      <c r="E18" s="50">
        <v>44027</v>
      </c>
      <c r="F18" s="31"/>
      <c r="G18" s="31"/>
      <c r="H18" s="31"/>
      <c r="I18" s="5"/>
      <c r="J18" s="5"/>
      <c r="K18" s="5"/>
    </row>
    <row r="19" spans="1:11" x14ac:dyDescent="0.2">
      <c r="A19" s="30">
        <v>11</v>
      </c>
      <c r="B19" s="66" t="s">
        <v>138</v>
      </c>
      <c r="C19" s="66" t="s">
        <v>139</v>
      </c>
      <c r="D19" s="66">
        <v>2004</v>
      </c>
      <c r="E19" s="50">
        <v>44027</v>
      </c>
      <c r="F19" s="31"/>
      <c r="G19" s="31"/>
      <c r="H19" s="31"/>
      <c r="I19" s="5"/>
      <c r="J19" s="5"/>
      <c r="K19" s="5"/>
    </row>
    <row r="20" spans="1:11" x14ac:dyDescent="0.2">
      <c r="A20" s="30">
        <v>12</v>
      </c>
      <c r="B20" s="66" t="s">
        <v>140</v>
      </c>
      <c r="C20" s="66" t="s">
        <v>141</v>
      </c>
      <c r="D20" s="66">
        <v>2000</v>
      </c>
      <c r="E20" s="50">
        <v>44027</v>
      </c>
      <c r="F20" s="31"/>
      <c r="G20" s="31"/>
      <c r="H20" s="31"/>
      <c r="I20" s="5"/>
      <c r="J20" s="5"/>
      <c r="K20" s="5"/>
    </row>
    <row r="21" spans="1:11" x14ac:dyDescent="0.2">
      <c r="A21" s="30">
        <v>13</v>
      </c>
      <c r="B21" s="66" t="s">
        <v>140</v>
      </c>
      <c r="C21" s="66" t="s">
        <v>142</v>
      </c>
      <c r="D21" s="66">
        <v>2000</v>
      </c>
      <c r="E21" s="50">
        <v>44027</v>
      </c>
      <c r="F21" s="31"/>
      <c r="G21" s="31"/>
      <c r="H21" s="31"/>
      <c r="I21" s="5"/>
      <c r="J21" s="5"/>
      <c r="K21" s="5"/>
    </row>
    <row r="22" spans="1:11" x14ac:dyDescent="0.2">
      <c r="A22" s="30">
        <v>14</v>
      </c>
      <c r="B22" s="66" t="s">
        <v>143</v>
      </c>
      <c r="C22" s="66" t="s">
        <v>144</v>
      </c>
      <c r="D22" s="66">
        <v>2007</v>
      </c>
      <c r="E22" s="50">
        <v>44027</v>
      </c>
      <c r="F22" s="31"/>
      <c r="G22" s="31"/>
      <c r="H22" s="31"/>
      <c r="I22" s="5"/>
      <c r="J22" s="5"/>
      <c r="K22" s="5"/>
    </row>
    <row r="23" spans="1:11" x14ac:dyDescent="0.2">
      <c r="A23" s="30">
        <v>15</v>
      </c>
      <c r="B23" s="66" t="s">
        <v>143</v>
      </c>
      <c r="C23" s="66" t="s">
        <v>145</v>
      </c>
      <c r="D23" s="66">
        <v>2007</v>
      </c>
      <c r="E23" s="50">
        <v>44027</v>
      </c>
      <c r="F23" s="31"/>
      <c r="G23" s="31"/>
      <c r="H23" s="31"/>
      <c r="I23" s="5"/>
      <c r="J23" s="5"/>
      <c r="K23" s="5"/>
    </row>
    <row r="24" spans="1:11" x14ac:dyDescent="0.2">
      <c r="A24" s="30">
        <v>16</v>
      </c>
      <c r="B24" s="66" t="s">
        <v>143</v>
      </c>
      <c r="C24" s="66" t="s">
        <v>146</v>
      </c>
      <c r="D24" s="66">
        <v>2007</v>
      </c>
      <c r="E24" s="50">
        <v>44027</v>
      </c>
      <c r="F24" s="31"/>
      <c r="G24" s="31"/>
      <c r="H24" s="31"/>
      <c r="I24" s="5"/>
      <c r="J24" s="5"/>
      <c r="K24" s="5"/>
    </row>
    <row r="25" spans="1:11" x14ac:dyDescent="0.2">
      <c r="A25" s="30">
        <v>17</v>
      </c>
      <c r="B25" s="66" t="s">
        <v>143</v>
      </c>
      <c r="C25" s="66" t="s">
        <v>148</v>
      </c>
      <c r="D25" s="66">
        <v>2008</v>
      </c>
      <c r="E25" s="50">
        <v>44027</v>
      </c>
      <c r="F25" s="31"/>
      <c r="G25" s="31"/>
      <c r="H25" s="31"/>
      <c r="I25" s="5"/>
      <c r="J25" s="5"/>
      <c r="K25" s="5"/>
    </row>
    <row r="26" spans="1:11" x14ac:dyDescent="0.2">
      <c r="A26" s="30">
        <v>18</v>
      </c>
      <c r="B26" s="66" t="s">
        <v>143</v>
      </c>
      <c r="C26" s="66" t="s">
        <v>149</v>
      </c>
      <c r="D26" s="66">
        <v>2008</v>
      </c>
      <c r="E26" s="50">
        <v>44027</v>
      </c>
      <c r="F26" s="31"/>
      <c r="G26" s="31"/>
      <c r="H26" s="31"/>
      <c r="I26" s="5"/>
      <c r="J26" s="5"/>
      <c r="K26" s="5"/>
    </row>
    <row r="27" spans="1:11" x14ac:dyDescent="0.2">
      <c r="A27" s="30">
        <v>19</v>
      </c>
      <c r="B27" s="66" t="s">
        <v>143</v>
      </c>
      <c r="C27" s="66" t="s">
        <v>150</v>
      </c>
      <c r="D27" s="66">
        <v>2008</v>
      </c>
      <c r="E27" s="50">
        <v>44027</v>
      </c>
      <c r="F27" s="31"/>
      <c r="G27" s="31"/>
      <c r="H27" s="31"/>
      <c r="I27" s="5"/>
      <c r="J27" s="5"/>
      <c r="K27" s="5"/>
    </row>
    <row r="28" spans="1:11" x14ac:dyDescent="0.2">
      <c r="A28" s="30">
        <v>20</v>
      </c>
      <c r="B28" s="66" t="s">
        <v>143</v>
      </c>
      <c r="C28" s="66" t="s">
        <v>151</v>
      </c>
      <c r="D28" s="66">
        <v>2010</v>
      </c>
      <c r="E28" s="50">
        <v>44027</v>
      </c>
      <c r="F28" s="31"/>
      <c r="G28" s="31"/>
      <c r="H28" s="31"/>
      <c r="I28" s="5"/>
      <c r="J28" s="5"/>
      <c r="K28" s="5"/>
    </row>
    <row r="29" spans="1:11" x14ac:dyDescent="0.2">
      <c r="A29" s="30">
        <v>21</v>
      </c>
      <c r="B29" s="66" t="s">
        <v>143</v>
      </c>
      <c r="C29" s="66" t="s">
        <v>152</v>
      </c>
      <c r="D29" s="66">
        <v>2010</v>
      </c>
      <c r="E29" s="50">
        <v>44027</v>
      </c>
      <c r="F29" s="31"/>
      <c r="G29" s="31"/>
      <c r="H29" s="31"/>
      <c r="I29" s="5"/>
      <c r="J29" s="5"/>
      <c r="K29" s="5"/>
    </row>
    <row r="30" spans="1:11" x14ac:dyDescent="0.2">
      <c r="A30" s="30">
        <v>22</v>
      </c>
      <c r="B30" s="66" t="s">
        <v>143</v>
      </c>
      <c r="C30" s="66" t="s">
        <v>153</v>
      </c>
      <c r="D30" s="66">
        <v>2010</v>
      </c>
      <c r="E30" s="50">
        <v>44027</v>
      </c>
      <c r="F30" s="31"/>
      <c r="G30" s="31"/>
      <c r="H30" s="31"/>
      <c r="I30" s="5"/>
      <c r="J30" s="5"/>
      <c r="K30" s="5"/>
    </row>
    <row r="31" spans="1:11" x14ac:dyDescent="0.2">
      <c r="A31" s="30">
        <v>23</v>
      </c>
      <c r="B31" s="66" t="s">
        <v>154</v>
      </c>
      <c r="C31" s="66" t="s">
        <v>155</v>
      </c>
      <c r="D31" s="66">
        <v>2008</v>
      </c>
      <c r="E31" s="50">
        <v>44027</v>
      </c>
      <c r="F31" s="31"/>
      <c r="G31" s="31"/>
      <c r="H31" s="31"/>
      <c r="I31" s="5"/>
      <c r="J31" s="5"/>
      <c r="K31" s="5"/>
    </row>
    <row r="32" spans="1:11" x14ac:dyDescent="0.2">
      <c r="A32" s="30">
        <v>24</v>
      </c>
      <c r="B32" s="66" t="s">
        <v>158</v>
      </c>
      <c r="C32" s="66" t="s">
        <v>159</v>
      </c>
      <c r="D32" s="66">
        <v>2006</v>
      </c>
      <c r="E32" s="50">
        <v>44027</v>
      </c>
      <c r="F32" s="31"/>
      <c r="G32" s="31"/>
      <c r="H32" s="31"/>
      <c r="I32" s="5"/>
      <c r="J32" s="5"/>
      <c r="K32" s="5"/>
    </row>
    <row r="33" spans="1:11" x14ac:dyDescent="0.2">
      <c r="A33" s="30">
        <v>25</v>
      </c>
      <c r="B33" s="66" t="s">
        <v>158</v>
      </c>
      <c r="C33" s="66" t="s">
        <v>160</v>
      </c>
      <c r="D33" s="66">
        <v>2006</v>
      </c>
      <c r="E33" s="50">
        <v>44027</v>
      </c>
      <c r="F33" s="31"/>
      <c r="G33" s="31"/>
      <c r="H33" s="31"/>
      <c r="I33" s="5"/>
      <c r="J33" s="5"/>
      <c r="K33" s="5"/>
    </row>
    <row r="34" spans="1:11" x14ac:dyDescent="0.2">
      <c r="A34" s="30">
        <v>26</v>
      </c>
      <c r="B34" s="66" t="s">
        <v>158</v>
      </c>
      <c r="C34" s="66" t="s">
        <v>161</v>
      </c>
      <c r="D34" s="66">
        <v>2007</v>
      </c>
      <c r="E34" s="50">
        <v>44027</v>
      </c>
      <c r="F34" s="31"/>
      <c r="G34" s="31"/>
      <c r="H34" s="31"/>
      <c r="I34" s="5"/>
      <c r="J34" s="5"/>
      <c r="K34" s="5"/>
    </row>
    <row r="35" spans="1:11" x14ac:dyDescent="0.2">
      <c r="A35" s="30">
        <v>27</v>
      </c>
      <c r="B35" s="66" t="s">
        <v>168</v>
      </c>
      <c r="C35" s="66" t="s">
        <v>169</v>
      </c>
      <c r="D35" s="66">
        <v>1994</v>
      </c>
      <c r="E35" s="50">
        <v>44027</v>
      </c>
      <c r="F35" s="31"/>
      <c r="G35" s="31"/>
      <c r="H35" s="31"/>
      <c r="I35" s="5"/>
      <c r="J35" s="5"/>
      <c r="K35" s="5"/>
    </row>
    <row r="36" spans="1:11" x14ac:dyDescent="0.2">
      <c r="A36" s="30">
        <v>28</v>
      </c>
      <c r="B36" s="66" t="s">
        <v>168</v>
      </c>
      <c r="C36" s="66" t="s">
        <v>142</v>
      </c>
      <c r="D36" s="66">
        <v>1996</v>
      </c>
      <c r="E36" s="50">
        <v>44027</v>
      </c>
      <c r="F36" s="31"/>
      <c r="G36" s="31"/>
      <c r="H36" s="31"/>
      <c r="I36" s="5"/>
      <c r="J36" s="5"/>
      <c r="K36" s="5"/>
    </row>
    <row r="37" spans="1:11" x14ac:dyDescent="0.2">
      <c r="A37" s="30">
        <v>29</v>
      </c>
      <c r="B37" s="66" t="s">
        <v>170</v>
      </c>
      <c r="C37" s="66" t="s">
        <v>177</v>
      </c>
      <c r="D37" s="66">
        <v>1994</v>
      </c>
      <c r="E37" s="50">
        <v>44027</v>
      </c>
      <c r="F37" s="31"/>
      <c r="G37" s="31"/>
      <c r="H37" s="31"/>
      <c r="I37" s="5"/>
      <c r="J37" s="5"/>
      <c r="K37" s="5"/>
    </row>
    <row r="38" spans="1:11" x14ac:dyDescent="0.2">
      <c r="A38" s="30">
        <v>30</v>
      </c>
      <c r="B38" s="36" t="s">
        <v>138</v>
      </c>
      <c r="C38" s="36" t="s">
        <v>658</v>
      </c>
      <c r="D38" s="36">
        <v>2004</v>
      </c>
      <c r="E38" s="50">
        <v>44027</v>
      </c>
      <c r="F38" s="31"/>
      <c r="G38" s="31"/>
      <c r="H38" s="31"/>
      <c r="I38" s="5"/>
      <c r="J38" s="5"/>
      <c r="K38" s="5"/>
    </row>
    <row r="39" spans="1:11" x14ac:dyDescent="0.2">
      <c r="A39" s="30">
        <v>31</v>
      </c>
      <c r="B39" s="36" t="s">
        <v>154</v>
      </c>
      <c r="C39" s="36" t="s">
        <v>155</v>
      </c>
      <c r="D39" s="36">
        <v>2008</v>
      </c>
      <c r="E39" s="50">
        <v>44027</v>
      </c>
      <c r="F39" s="31"/>
      <c r="G39" s="31"/>
      <c r="H39" s="31"/>
      <c r="I39" s="5"/>
      <c r="J39" s="5"/>
      <c r="K39" s="5"/>
    </row>
    <row r="40" spans="1:11" x14ac:dyDescent="0.2">
      <c r="A40" s="30">
        <v>32</v>
      </c>
      <c r="B40" s="36" t="s">
        <v>659</v>
      </c>
      <c r="C40" s="36" t="s">
        <v>660</v>
      </c>
      <c r="D40" s="36">
        <v>2010</v>
      </c>
      <c r="E40" s="50">
        <v>44027</v>
      </c>
      <c r="F40" s="31"/>
      <c r="G40" s="31"/>
      <c r="H40" s="31"/>
      <c r="I40" s="5"/>
      <c r="J40" s="5"/>
      <c r="K40" s="5"/>
    </row>
    <row r="41" spans="1:11" x14ac:dyDescent="0.2">
      <c r="A41" s="30">
        <v>33</v>
      </c>
      <c r="B41" s="36" t="s">
        <v>659</v>
      </c>
      <c r="C41" s="36" t="s">
        <v>661</v>
      </c>
      <c r="D41" s="36">
        <v>2011</v>
      </c>
      <c r="E41" s="50">
        <v>44027</v>
      </c>
      <c r="F41" s="31"/>
      <c r="G41" s="31"/>
      <c r="H41" s="31"/>
      <c r="I41" s="5"/>
      <c r="J41" s="5"/>
      <c r="K41" s="5"/>
    </row>
    <row r="42" spans="1:11" x14ac:dyDescent="0.2">
      <c r="A42" s="30">
        <v>34</v>
      </c>
      <c r="B42" s="36" t="s">
        <v>662</v>
      </c>
      <c r="C42" s="36" t="s">
        <v>657</v>
      </c>
      <c r="D42" s="36">
        <v>1997</v>
      </c>
      <c r="E42" s="50">
        <v>44027</v>
      </c>
      <c r="F42" s="31"/>
      <c r="G42" s="31"/>
      <c r="H42" s="31"/>
      <c r="I42" s="5"/>
      <c r="J42" s="5"/>
      <c r="K42" s="5"/>
    </row>
    <row r="43" spans="1:11" x14ac:dyDescent="0.2">
      <c r="A43" s="30">
        <v>35</v>
      </c>
      <c r="B43" s="36" t="s">
        <v>170</v>
      </c>
      <c r="C43" s="36" t="s">
        <v>177</v>
      </c>
      <c r="D43" s="36">
        <v>1994</v>
      </c>
      <c r="E43" s="50">
        <v>44027</v>
      </c>
      <c r="F43" s="31"/>
      <c r="G43" s="31"/>
      <c r="H43" s="31"/>
      <c r="I43" s="5"/>
      <c r="J43" s="5"/>
      <c r="K43" s="5"/>
    </row>
    <row r="44" spans="1:11" x14ac:dyDescent="0.2">
      <c r="A44" s="30">
        <v>36</v>
      </c>
      <c r="B44" s="36" t="s">
        <v>663</v>
      </c>
      <c r="C44" s="36" t="s">
        <v>664</v>
      </c>
      <c r="D44" s="36">
        <v>1988</v>
      </c>
      <c r="E44" s="50">
        <v>44027</v>
      </c>
      <c r="F44" s="31"/>
      <c r="G44" s="31"/>
      <c r="H44" s="31"/>
      <c r="I44" s="5"/>
      <c r="J44" s="5"/>
      <c r="K44" s="5"/>
    </row>
    <row r="45" spans="1:11" ht="81.75" customHeight="1" x14ac:dyDescent="0.2">
      <c r="A45" s="33"/>
      <c r="B45" s="110" t="s">
        <v>523</v>
      </c>
      <c r="C45" s="110"/>
      <c r="D45" s="110"/>
      <c r="E45" s="110"/>
      <c r="F45" s="110"/>
      <c r="G45" s="37" t="s">
        <v>524</v>
      </c>
      <c r="H45" s="34"/>
      <c r="I45" s="5"/>
      <c r="J45" s="5"/>
      <c r="K45" s="5"/>
    </row>
    <row r="46" spans="1:11" ht="43.5" customHeight="1" x14ac:dyDescent="0.2">
      <c r="A46" s="33"/>
      <c r="B46" s="133" t="s">
        <v>182</v>
      </c>
      <c r="C46" s="133"/>
      <c r="D46" s="133"/>
      <c r="E46" s="133"/>
      <c r="F46" s="133"/>
      <c r="G46" s="31" t="s">
        <v>524</v>
      </c>
      <c r="H46" s="34"/>
      <c r="I46" s="5"/>
      <c r="J46" s="5"/>
      <c r="K46" s="5"/>
    </row>
    <row r="47" spans="1:11" ht="42.75" customHeight="1" x14ac:dyDescent="0.2">
      <c r="B47" s="110" t="s">
        <v>180</v>
      </c>
      <c r="C47" s="110"/>
      <c r="D47" s="110"/>
      <c r="E47" s="110"/>
      <c r="F47" s="110"/>
      <c r="G47" s="31" t="s">
        <v>524</v>
      </c>
      <c r="H47" s="5"/>
      <c r="I47" s="5"/>
      <c r="J47" s="5"/>
      <c r="K47" s="5"/>
    </row>
    <row r="48" spans="1:11" x14ac:dyDescent="0.2">
      <c r="B48" s="3"/>
      <c r="C48" s="32"/>
      <c r="D48" s="5"/>
      <c r="E48" s="5"/>
      <c r="F48" s="5"/>
      <c r="G48" s="5"/>
      <c r="H48" s="5"/>
      <c r="I48" s="5"/>
      <c r="J48" s="5"/>
      <c r="K48" s="5"/>
    </row>
    <row r="49" spans="1:11" x14ac:dyDescent="0.2">
      <c r="A49" s="119" t="s">
        <v>356</v>
      </c>
      <c r="B49" s="124"/>
      <c r="C49" s="125">
        <f>SUM(H9:H44)</f>
        <v>0</v>
      </c>
      <c r="D49" s="126"/>
      <c r="E49" s="127"/>
      <c r="F49" s="128" t="s">
        <v>334</v>
      </c>
      <c r="G49" s="129"/>
      <c r="H49" s="120"/>
      <c r="I49" s="130"/>
      <c r="J49" s="131"/>
      <c r="K49" s="132"/>
    </row>
    <row r="50" spans="1:11" x14ac:dyDescent="0.2">
      <c r="A50" s="119" t="s">
        <v>335</v>
      </c>
      <c r="B50" s="120"/>
      <c r="C50" s="121"/>
      <c r="D50" s="122"/>
      <c r="E50" s="122"/>
      <c r="F50" s="122"/>
      <c r="G50" s="122"/>
      <c r="H50" s="122"/>
      <c r="I50" s="122"/>
      <c r="J50" s="122"/>
      <c r="K50" s="123"/>
    </row>
  </sheetData>
  <mergeCells count="12">
    <mergeCell ref="A50:B50"/>
    <mergeCell ref="C50:K50"/>
    <mergeCell ref="B46:F46"/>
    <mergeCell ref="B47:F47"/>
    <mergeCell ref="A49:B49"/>
    <mergeCell ref="C49:E49"/>
    <mergeCell ref="F49:H49"/>
    <mergeCell ref="A4:B4"/>
    <mergeCell ref="C4:K4"/>
    <mergeCell ref="B6:K6"/>
    <mergeCell ref="B45:F45"/>
    <mergeCell ref="I49:K49"/>
  </mergeCells>
  <phoneticPr fontId="10" type="noConversion"/>
  <pageMargins left="0.75" right="0.75" top="1" bottom="1" header="0.5" footer="0.5"/>
  <pageSetup paperSize="9" scale="58" orientation="portrait" r:id="rId1"/>
  <headerFooter alignWithMargins="0"/>
  <legacy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8"/>
  <dimension ref="A2:K126"/>
  <sheetViews>
    <sheetView view="pageLayout" zoomScaleNormal="100" zoomScaleSheetLayoutView="100" workbookViewId="0">
      <selection activeCell="K32" sqref="K32"/>
    </sheetView>
  </sheetViews>
  <sheetFormatPr defaultRowHeight="12.75" x14ac:dyDescent="0.2"/>
  <cols>
    <col min="1" max="1" width="4" customWidth="1"/>
    <col min="2" max="2" width="22.85546875" customWidth="1"/>
    <col min="3" max="4" width="13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57</v>
      </c>
      <c r="D2" s="81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9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357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40" t="s">
        <v>341</v>
      </c>
      <c r="C8" s="31" t="s">
        <v>178</v>
      </c>
      <c r="D8" s="31" t="s">
        <v>315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ht="15" x14ac:dyDescent="0.25">
      <c r="A9" s="30">
        <v>1</v>
      </c>
      <c r="B9" s="40" t="str">
        <f>"Multipette M4"</f>
        <v>Multipette M4</v>
      </c>
      <c r="C9" s="82" t="s">
        <v>179</v>
      </c>
      <c r="D9" s="31" t="str">
        <f>"R15718G"</f>
        <v>R15718G</v>
      </c>
      <c r="E9" s="31" t="str">
        <f>"2020-07-31"</f>
        <v>2020-07-31</v>
      </c>
      <c r="F9" s="79"/>
      <c r="G9" s="31"/>
      <c r="H9" s="31"/>
      <c r="I9" s="5"/>
      <c r="J9" s="5"/>
      <c r="K9" s="5"/>
    </row>
    <row r="10" spans="1:11" x14ac:dyDescent="0.2">
      <c r="A10" s="30">
        <v>2</v>
      </c>
      <c r="B10" s="40" t="str">
        <f>"Reference"</f>
        <v>Reference</v>
      </c>
      <c r="C10" s="31" t="str">
        <f>"50 - 200µl"</f>
        <v>50 - 200µl</v>
      </c>
      <c r="D10" s="31" t="str">
        <f>"3852102"</f>
        <v>3852102</v>
      </c>
      <c r="E10" s="31" t="str">
        <f t="shared" ref="E10:E73" si="0">"2020-07-31"</f>
        <v>2020-07-31</v>
      </c>
      <c r="F10" s="79"/>
      <c r="G10" s="31"/>
      <c r="H10" s="31"/>
      <c r="I10" s="5"/>
      <c r="J10" s="5"/>
      <c r="K10" s="5"/>
    </row>
    <row r="11" spans="1:11" x14ac:dyDescent="0.2">
      <c r="A11" s="30">
        <v>3</v>
      </c>
      <c r="B11" s="40" t="str">
        <f t="shared" ref="B11:B28" si="1">"Research"</f>
        <v>Research</v>
      </c>
      <c r="C11" s="31" t="str">
        <f>"10 - 100µl "</f>
        <v xml:space="preserve">10 - 100µl </v>
      </c>
      <c r="D11" s="31" t="str">
        <f>"2959665"</f>
        <v>2959665</v>
      </c>
      <c r="E11" s="31" t="str">
        <f t="shared" si="0"/>
        <v>2020-07-31</v>
      </c>
      <c r="F11" s="79"/>
      <c r="G11" s="31"/>
      <c r="H11" s="31"/>
      <c r="I11" s="5"/>
      <c r="J11" s="5"/>
      <c r="K11" s="5"/>
    </row>
    <row r="12" spans="1:11" x14ac:dyDescent="0.2">
      <c r="A12" s="30">
        <v>4</v>
      </c>
      <c r="B12" s="40" t="str">
        <f t="shared" si="1"/>
        <v>Research</v>
      </c>
      <c r="C12" s="31" t="str">
        <f>"10 - 100µl "</f>
        <v xml:space="preserve">10 - 100µl </v>
      </c>
      <c r="D12" s="31" t="str">
        <f>"2960445"</f>
        <v>2960445</v>
      </c>
      <c r="E12" s="31" t="str">
        <f t="shared" si="0"/>
        <v>2020-07-31</v>
      </c>
      <c r="F12" s="79"/>
      <c r="G12" s="31"/>
      <c r="H12" s="31"/>
      <c r="I12" s="5"/>
      <c r="J12" s="5"/>
      <c r="K12" s="5"/>
    </row>
    <row r="13" spans="1:11" x14ac:dyDescent="0.2">
      <c r="A13" s="30">
        <v>5</v>
      </c>
      <c r="B13" s="40" t="str">
        <f t="shared" si="1"/>
        <v>Research</v>
      </c>
      <c r="C13" s="31" t="str">
        <f>"100 - 1000µl "</f>
        <v xml:space="preserve">100 - 1000µl </v>
      </c>
      <c r="D13" s="31" t="str">
        <f>"2987875"</f>
        <v>2987875</v>
      </c>
      <c r="E13" s="31" t="str">
        <f t="shared" si="0"/>
        <v>2020-07-31</v>
      </c>
      <c r="F13" s="79"/>
      <c r="G13" s="31"/>
      <c r="H13" s="31"/>
      <c r="I13" s="5"/>
      <c r="J13" s="5"/>
      <c r="K13" s="5"/>
    </row>
    <row r="14" spans="1:11" x14ac:dyDescent="0.2">
      <c r="A14" s="30">
        <v>6</v>
      </c>
      <c r="B14" s="40" t="str">
        <f t="shared" si="1"/>
        <v>Research</v>
      </c>
      <c r="C14" s="31" t="str">
        <f>"10 - 100µl "</f>
        <v xml:space="preserve">10 - 100µl </v>
      </c>
      <c r="D14" s="31" t="str">
        <f>"2959885"</f>
        <v>2959885</v>
      </c>
      <c r="E14" s="31" t="str">
        <f t="shared" si="0"/>
        <v>2020-07-31</v>
      </c>
      <c r="F14" s="79"/>
      <c r="G14" s="31"/>
      <c r="H14" s="31"/>
      <c r="I14" s="5"/>
      <c r="J14" s="5"/>
      <c r="K14" s="5"/>
    </row>
    <row r="15" spans="1:11" x14ac:dyDescent="0.2">
      <c r="A15" s="30">
        <v>7</v>
      </c>
      <c r="B15" s="40" t="str">
        <f t="shared" si="1"/>
        <v>Research</v>
      </c>
      <c r="C15" s="31" t="str">
        <f>"100 - 1000µl "</f>
        <v xml:space="preserve">100 - 1000µl </v>
      </c>
      <c r="D15" s="31" t="str">
        <f>"2988485"</f>
        <v>2988485</v>
      </c>
      <c r="E15" s="31" t="str">
        <f t="shared" si="0"/>
        <v>2020-07-31</v>
      </c>
      <c r="F15" s="79"/>
      <c r="G15" s="31"/>
      <c r="H15" s="31"/>
      <c r="I15" s="5"/>
      <c r="J15" s="5"/>
      <c r="K15" s="5"/>
    </row>
    <row r="16" spans="1:11" x14ac:dyDescent="0.2">
      <c r="A16" s="30">
        <v>8</v>
      </c>
      <c r="B16" s="40" t="str">
        <f t="shared" si="1"/>
        <v>Research</v>
      </c>
      <c r="C16" s="31" t="str">
        <f>"10 - 100µl "</f>
        <v xml:space="preserve">10 - 100µl </v>
      </c>
      <c r="D16" s="31" t="str">
        <f>"2961105"</f>
        <v>2961105</v>
      </c>
      <c r="E16" s="31" t="str">
        <f t="shared" si="0"/>
        <v>2020-07-31</v>
      </c>
      <c r="F16" s="79"/>
      <c r="G16" s="31"/>
      <c r="H16" s="31"/>
      <c r="I16" s="5"/>
      <c r="J16" s="5"/>
      <c r="K16" s="5"/>
    </row>
    <row r="17" spans="1:11" x14ac:dyDescent="0.2">
      <c r="A17" s="30">
        <v>9</v>
      </c>
      <c r="B17" s="40" t="str">
        <f t="shared" si="1"/>
        <v>Research</v>
      </c>
      <c r="C17" s="31" t="str">
        <f>"100 - 1000µl "</f>
        <v xml:space="preserve">100 - 1000µl </v>
      </c>
      <c r="D17" s="31" t="str">
        <f>"2987635"</f>
        <v>2987635</v>
      </c>
      <c r="E17" s="31" t="str">
        <f t="shared" si="0"/>
        <v>2020-07-31</v>
      </c>
      <c r="F17" s="79"/>
      <c r="G17" s="31"/>
      <c r="H17" s="31"/>
      <c r="I17" s="5"/>
      <c r="J17" s="5"/>
      <c r="K17" s="5"/>
    </row>
    <row r="18" spans="1:11" x14ac:dyDescent="0.2">
      <c r="A18" s="30">
        <v>10</v>
      </c>
      <c r="B18" s="40" t="str">
        <f t="shared" si="1"/>
        <v>Research</v>
      </c>
      <c r="C18" s="31" t="str">
        <f>"2 - 20µl "</f>
        <v xml:space="preserve">2 - 20µl </v>
      </c>
      <c r="D18" s="31" t="str">
        <f>"1839785"</f>
        <v>1839785</v>
      </c>
      <c r="E18" s="31" t="str">
        <f t="shared" si="0"/>
        <v>2020-07-31</v>
      </c>
      <c r="F18" s="79"/>
      <c r="G18" s="31"/>
      <c r="H18" s="31"/>
      <c r="I18" s="5"/>
      <c r="J18" s="5"/>
      <c r="K18" s="5"/>
    </row>
    <row r="19" spans="1:11" x14ac:dyDescent="0.2">
      <c r="A19" s="30">
        <v>11</v>
      </c>
      <c r="B19" s="40" t="str">
        <f t="shared" si="1"/>
        <v>Research</v>
      </c>
      <c r="C19" s="31" t="str">
        <f>"100 - 1000µl "</f>
        <v xml:space="preserve">100 - 1000µl </v>
      </c>
      <c r="D19" s="31" t="str">
        <f>"2988175"</f>
        <v>2988175</v>
      </c>
      <c r="E19" s="31" t="str">
        <f t="shared" si="0"/>
        <v>2020-07-31</v>
      </c>
      <c r="F19" s="79"/>
      <c r="G19" s="31"/>
      <c r="H19" s="31"/>
      <c r="I19" s="5"/>
      <c r="J19" s="5"/>
      <c r="K19" s="5"/>
    </row>
    <row r="20" spans="1:11" x14ac:dyDescent="0.2">
      <c r="A20" s="30">
        <v>12</v>
      </c>
      <c r="B20" s="40" t="str">
        <f t="shared" si="1"/>
        <v>Research</v>
      </c>
      <c r="C20" s="31" t="str">
        <f>"10 - 100µl"</f>
        <v>10 - 100µl</v>
      </c>
      <c r="D20" s="31" t="str">
        <f>"365227Z"</f>
        <v>365227Z</v>
      </c>
      <c r="E20" s="31" t="str">
        <f t="shared" si="0"/>
        <v>2020-07-31</v>
      </c>
      <c r="F20" s="79"/>
      <c r="G20" s="31"/>
      <c r="H20" s="31"/>
      <c r="I20" s="5"/>
      <c r="J20" s="5"/>
      <c r="K20" s="5"/>
    </row>
    <row r="21" spans="1:11" x14ac:dyDescent="0.2">
      <c r="A21" s="30">
        <v>13</v>
      </c>
      <c r="B21" s="40" t="str">
        <f t="shared" si="1"/>
        <v>Research</v>
      </c>
      <c r="C21" s="31" t="str">
        <f>"20 - 200µl"</f>
        <v>20 - 200µl</v>
      </c>
      <c r="D21" s="31" t="str">
        <f>"4560851"</f>
        <v>4560851</v>
      </c>
      <c r="E21" s="31" t="str">
        <f t="shared" si="0"/>
        <v>2020-07-31</v>
      </c>
      <c r="F21" s="79"/>
      <c r="G21" s="31"/>
      <c r="H21" s="31"/>
      <c r="I21" s="5"/>
      <c r="J21" s="5"/>
      <c r="K21" s="5"/>
    </row>
    <row r="22" spans="1:11" x14ac:dyDescent="0.2">
      <c r="A22" s="30">
        <v>14</v>
      </c>
      <c r="B22" s="40" t="str">
        <f t="shared" si="1"/>
        <v>Research</v>
      </c>
      <c r="C22" s="31" t="str">
        <f>"2 - 20µl"</f>
        <v>2 - 20µl</v>
      </c>
      <c r="D22" s="31" t="str">
        <f>"254323"</f>
        <v>254323</v>
      </c>
      <c r="E22" s="31" t="str">
        <f t="shared" si="0"/>
        <v>2020-07-31</v>
      </c>
      <c r="F22" s="79"/>
      <c r="G22" s="31"/>
      <c r="H22" s="31"/>
      <c r="I22" s="5"/>
      <c r="J22" s="5"/>
      <c r="K22" s="5"/>
    </row>
    <row r="23" spans="1:11" x14ac:dyDescent="0.2">
      <c r="A23" s="30">
        <v>15</v>
      </c>
      <c r="B23" s="40" t="str">
        <f t="shared" si="1"/>
        <v>Research</v>
      </c>
      <c r="C23" s="31" t="str">
        <f>"10 - 100µl"</f>
        <v>10 - 100µl</v>
      </c>
      <c r="D23" s="31" t="str">
        <f>"4521551"</f>
        <v>4521551</v>
      </c>
      <c r="E23" s="31" t="str">
        <f t="shared" si="0"/>
        <v>2020-07-31</v>
      </c>
      <c r="F23" s="79"/>
      <c r="G23" s="31"/>
      <c r="H23" s="31"/>
      <c r="I23" s="5"/>
      <c r="J23" s="5"/>
      <c r="K23" s="5"/>
    </row>
    <row r="24" spans="1:11" x14ac:dyDescent="0.2">
      <c r="A24" s="30">
        <v>16</v>
      </c>
      <c r="B24" s="40" t="str">
        <f t="shared" si="1"/>
        <v>Research</v>
      </c>
      <c r="C24" s="31" t="str">
        <f>"20 - 200µl"</f>
        <v>20 - 200µl</v>
      </c>
      <c r="D24" s="31" t="str">
        <f>"4557961"</f>
        <v>4557961</v>
      </c>
      <c r="E24" s="31" t="str">
        <f t="shared" si="0"/>
        <v>2020-07-31</v>
      </c>
      <c r="F24" s="79"/>
      <c r="G24" s="31"/>
      <c r="H24" s="31"/>
      <c r="I24" s="5"/>
      <c r="J24" s="5"/>
      <c r="K24" s="5"/>
    </row>
    <row r="25" spans="1:11" x14ac:dyDescent="0.2">
      <c r="A25" s="30">
        <v>17</v>
      </c>
      <c r="B25" s="40" t="str">
        <f t="shared" si="1"/>
        <v>Research</v>
      </c>
      <c r="C25" s="31" t="str">
        <f>"200 - 1000µl"</f>
        <v>200 - 1000µl</v>
      </c>
      <c r="D25" s="31" t="str">
        <f>"295849"</f>
        <v>295849</v>
      </c>
      <c r="E25" s="31" t="str">
        <f t="shared" si="0"/>
        <v>2020-07-31</v>
      </c>
      <c r="F25" s="79"/>
      <c r="G25" s="31"/>
      <c r="H25" s="31"/>
      <c r="I25" s="5"/>
      <c r="J25" s="5"/>
      <c r="K25" s="5"/>
    </row>
    <row r="26" spans="1:11" x14ac:dyDescent="0.2">
      <c r="A26" s="30">
        <v>18</v>
      </c>
      <c r="B26" s="40" t="str">
        <f t="shared" si="1"/>
        <v>Research</v>
      </c>
      <c r="C26" s="31" t="str">
        <f>"2 - 20µl"</f>
        <v>2 - 20µl</v>
      </c>
      <c r="D26" s="31" t="str">
        <f>"3446221"</f>
        <v>3446221</v>
      </c>
      <c r="E26" s="31" t="str">
        <f t="shared" si="0"/>
        <v>2020-07-31</v>
      </c>
      <c r="F26" s="79"/>
      <c r="G26" s="31"/>
      <c r="H26" s="31"/>
      <c r="I26" s="5"/>
      <c r="J26" s="5"/>
      <c r="K26" s="5"/>
    </row>
    <row r="27" spans="1:11" x14ac:dyDescent="0.2">
      <c r="A27" s="30">
        <v>19</v>
      </c>
      <c r="B27" s="40" t="str">
        <f t="shared" si="1"/>
        <v>Research</v>
      </c>
      <c r="C27" s="31" t="str">
        <f>"100 - 1000µl"</f>
        <v>100 - 1000µl</v>
      </c>
      <c r="D27" s="31" t="str">
        <f>"4590481"</f>
        <v>4590481</v>
      </c>
      <c r="E27" s="31" t="str">
        <f t="shared" si="0"/>
        <v>2020-07-31</v>
      </c>
      <c r="F27" s="79"/>
      <c r="G27" s="31"/>
      <c r="H27" s="31"/>
      <c r="I27" s="5"/>
      <c r="J27" s="5"/>
      <c r="K27" s="5"/>
    </row>
    <row r="28" spans="1:11" x14ac:dyDescent="0.2">
      <c r="A28" s="30">
        <v>20</v>
      </c>
      <c r="B28" s="40" t="str">
        <f t="shared" si="1"/>
        <v>Research</v>
      </c>
      <c r="C28" s="31" t="str">
        <f>"20 - 200µl"</f>
        <v>20 - 200µl</v>
      </c>
      <c r="D28" s="31" t="str">
        <f>"2142749"</f>
        <v>2142749</v>
      </c>
      <c r="E28" s="31" t="str">
        <f t="shared" si="0"/>
        <v>2020-07-31</v>
      </c>
      <c r="F28" s="79"/>
      <c r="G28" s="31"/>
      <c r="H28" s="31"/>
      <c r="I28" s="5"/>
      <c r="J28" s="5"/>
      <c r="K28" s="5"/>
    </row>
    <row r="29" spans="1:11" x14ac:dyDescent="0.2">
      <c r="A29" s="30">
        <v>21</v>
      </c>
      <c r="B29" s="40" t="str">
        <f>"Research plus"</f>
        <v>Research plus</v>
      </c>
      <c r="C29" s="31" t="str">
        <f>"100 - 1000µl "</f>
        <v xml:space="preserve">100 - 1000µl </v>
      </c>
      <c r="D29" s="31" t="str">
        <f>"362308A"</f>
        <v>362308A</v>
      </c>
      <c r="E29" s="31" t="str">
        <f t="shared" si="0"/>
        <v>2020-07-31</v>
      </c>
      <c r="F29" s="79"/>
      <c r="G29" s="31"/>
      <c r="H29" s="31"/>
      <c r="I29" s="5"/>
      <c r="J29" s="5"/>
      <c r="K29" s="5"/>
    </row>
    <row r="30" spans="1:11" x14ac:dyDescent="0.2">
      <c r="A30" s="30">
        <v>22</v>
      </c>
      <c r="B30" s="40" t="str">
        <f t="shared" ref="B30:B93" si="2">"Research plus"</f>
        <v>Research plus</v>
      </c>
      <c r="C30" s="31" t="str">
        <f>"100 - 1000µl "</f>
        <v xml:space="preserve">100 - 1000µl </v>
      </c>
      <c r="D30" s="31" t="str">
        <f>"362497A"</f>
        <v>362497A</v>
      </c>
      <c r="E30" s="31" t="str">
        <f t="shared" si="0"/>
        <v>2020-07-31</v>
      </c>
      <c r="F30" s="79"/>
      <c r="G30" s="31"/>
      <c r="H30" s="31"/>
      <c r="I30" s="5"/>
      <c r="J30" s="5"/>
      <c r="K30" s="5"/>
    </row>
    <row r="31" spans="1:11" x14ac:dyDescent="0.2">
      <c r="A31" s="30">
        <v>23</v>
      </c>
      <c r="B31" s="40" t="str">
        <f t="shared" si="2"/>
        <v>Research plus</v>
      </c>
      <c r="C31" s="31" t="str">
        <f>"0,5 - 5µl "</f>
        <v xml:space="preserve">0,5 - 5µl </v>
      </c>
      <c r="D31" s="31" t="str">
        <f>"I26430F"</f>
        <v>I26430F</v>
      </c>
      <c r="E31" s="31" t="str">
        <f t="shared" si="0"/>
        <v>2020-07-31</v>
      </c>
      <c r="F31" s="79"/>
      <c r="G31" s="31"/>
      <c r="H31" s="31"/>
      <c r="I31" s="5"/>
      <c r="J31" s="5"/>
      <c r="K31" s="5"/>
    </row>
    <row r="32" spans="1:11" x14ac:dyDescent="0.2">
      <c r="A32" s="30">
        <v>24</v>
      </c>
      <c r="B32" s="40" t="str">
        <f t="shared" si="2"/>
        <v>Research plus</v>
      </c>
      <c r="C32" s="31" t="str">
        <f>"500 - 5000µl "</f>
        <v xml:space="preserve">500 - 5000µl </v>
      </c>
      <c r="D32" s="31" t="str">
        <f>"J26430F"</f>
        <v>J26430F</v>
      </c>
      <c r="E32" s="31" t="str">
        <f t="shared" si="0"/>
        <v>2020-07-31</v>
      </c>
      <c r="F32" s="79"/>
      <c r="G32" s="31"/>
      <c r="H32" s="31"/>
      <c r="I32" s="5"/>
      <c r="J32" s="5"/>
      <c r="K32" s="5"/>
    </row>
    <row r="33" spans="1:11" x14ac:dyDescent="0.2">
      <c r="A33" s="30">
        <v>25</v>
      </c>
      <c r="B33" s="40" t="str">
        <f t="shared" si="2"/>
        <v>Research plus</v>
      </c>
      <c r="C33" s="31" t="str">
        <f>"10 - 100µl "</f>
        <v xml:space="preserve">10 - 100µl </v>
      </c>
      <c r="D33" s="31" t="str">
        <f>"214445A"</f>
        <v>214445A</v>
      </c>
      <c r="E33" s="31" t="str">
        <f t="shared" si="0"/>
        <v>2020-07-31</v>
      </c>
      <c r="F33" s="79"/>
      <c r="G33" s="31"/>
      <c r="H33" s="31"/>
      <c r="I33" s="5"/>
      <c r="J33" s="5"/>
      <c r="K33" s="5"/>
    </row>
    <row r="34" spans="1:11" x14ac:dyDescent="0.2">
      <c r="A34" s="30">
        <v>26</v>
      </c>
      <c r="B34" s="40" t="str">
        <f t="shared" si="2"/>
        <v>Research plus</v>
      </c>
      <c r="C34" s="31" t="str">
        <f>"100 - 1000µl "</f>
        <v xml:space="preserve">100 - 1000µl </v>
      </c>
      <c r="D34" s="31" t="str">
        <f>"364467Z"</f>
        <v>364467Z</v>
      </c>
      <c r="E34" s="31" t="str">
        <f t="shared" si="0"/>
        <v>2020-07-31</v>
      </c>
      <c r="F34" s="79"/>
      <c r="G34" s="31"/>
      <c r="H34" s="31"/>
      <c r="I34" s="5"/>
      <c r="J34" s="5"/>
      <c r="K34" s="5"/>
    </row>
    <row r="35" spans="1:11" x14ac:dyDescent="0.2">
      <c r="A35" s="30">
        <v>27</v>
      </c>
      <c r="B35" s="40" t="str">
        <f t="shared" si="2"/>
        <v>Research plus</v>
      </c>
      <c r="C35" s="31" t="str">
        <f>"2 - 20µl"</f>
        <v>2 - 20µl</v>
      </c>
      <c r="D35" s="31" t="str">
        <f>"P29578C"</f>
        <v>P29578C</v>
      </c>
      <c r="E35" s="31" t="str">
        <f t="shared" si="0"/>
        <v>2020-07-31</v>
      </c>
      <c r="F35" s="79"/>
      <c r="G35" s="31"/>
      <c r="H35" s="31"/>
      <c r="I35" s="5"/>
      <c r="J35" s="5"/>
      <c r="K35" s="5"/>
    </row>
    <row r="36" spans="1:11" x14ac:dyDescent="0.2">
      <c r="A36" s="30">
        <v>28</v>
      </c>
      <c r="B36" s="40" t="str">
        <f t="shared" si="2"/>
        <v>Research plus</v>
      </c>
      <c r="C36" s="31" t="str">
        <f>"10 - 100µl"</f>
        <v>10 - 100µl</v>
      </c>
      <c r="D36" s="31" t="str">
        <f>"214403A"</f>
        <v>214403A</v>
      </c>
      <c r="E36" s="31" t="str">
        <f t="shared" si="0"/>
        <v>2020-07-31</v>
      </c>
      <c r="F36" s="79"/>
      <c r="G36" s="31"/>
      <c r="H36" s="31"/>
      <c r="I36" s="5"/>
      <c r="J36" s="5"/>
      <c r="K36" s="5"/>
    </row>
    <row r="37" spans="1:11" x14ac:dyDescent="0.2">
      <c r="A37" s="30">
        <v>29</v>
      </c>
      <c r="B37" s="40" t="str">
        <f t="shared" si="2"/>
        <v>Research plus</v>
      </c>
      <c r="C37" s="31" t="str">
        <f>"10 - 100µl"</f>
        <v>10 - 100µl</v>
      </c>
      <c r="D37" s="31" t="str">
        <f>"O36485C"</f>
        <v>O36485C</v>
      </c>
      <c r="E37" s="31" t="str">
        <f t="shared" si="0"/>
        <v>2020-07-31</v>
      </c>
      <c r="F37" s="79"/>
      <c r="G37" s="31"/>
      <c r="H37" s="31"/>
      <c r="I37" s="5"/>
      <c r="J37" s="5"/>
      <c r="K37" s="5"/>
    </row>
    <row r="38" spans="1:11" x14ac:dyDescent="0.2">
      <c r="A38" s="30">
        <v>30</v>
      </c>
      <c r="B38" s="40" t="str">
        <f t="shared" si="2"/>
        <v>Research plus</v>
      </c>
      <c r="C38" s="31" t="str">
        <f>"2 - 20µl"</f>
        <v>2 - 20µl</v>
      </c>
      <c r="D38" s="31" t="str">
        <f>"252001Z"</f>
        <v>252001Z</v>
      </c>
      <c r="E38" s="31" t="str">
        <f t="shared" si="0"/>
        <v>2020-07-31</v>
      </c>
      <c r="F38" s="79"/>
      <c r="G38" s="31"/>
      <c r="H38" s="31"/>
      <c r="I38" s="5"/>
      <c r="J38" s="5"/>
      <c r="K38" s="5"/>
    </row>
    <row r="39" spans="1:11" x14ac:dyDescent="0.2">
      <c r="A39" s="30">
        <v>31</v>
      </c>
      <c r="B39" s="40" t="str">
        <f t="shared" si="2"/>
        <v>Research plus</v>
      </c>
      <c r="C39" s="31" t="str">
        <f>"100 - 1000µl"</f>
        <v>100 - 1000µl</v>
      </c>
      <c r="D39" s="31" t="str">
        <f>"364475Z"</f>
        <v>364475Z</v>
      </c>
      <c r="E39" s="31" t="str">
        <f t="shared" si="0"/>
        <v>2020-07-31</v>
      </c>
      <c r="F39" s="79"/>
      <c r="G39" s="31"/>
      <c r="H39" s="31"/>
      <c r="I39" s="5"/>
      <c r="J39" s="5"/>
      <c r="K39" s="5"/>
    </row>
    <row r="40" spans="1:11" x14ac:dyDescent="0.2">
      <c r="A40" s="30">
        <v>32</v>
      </c>
      <c r="B40" s="40" t="str">
        <f t="shared" si="2"/>
        <v>Research plus</v>
      </c>
      <c r="C40" s="31" t="str">
        <f>"2 - 20µl"</f>
        <v>2 - 20µl</v>
      </c>
      <c r="D40" s="31" t="str">
        <f>"P31692B"</f>
        <v>P31692B</v>
      </c>
      <c r="E40" s="31" t="str">
        <f t="shared" si="0"/>
        <v>2020-07-31</v>
      </c>
      <c r="F40" s="79"/>
      <c r="G40" s="31"/>
      <c r="H40" s="31"/>
      <c r="I40" s="5"/>
      <c r="J40" s="5"/>
      <c r="K40" s="5"/>
    </row>
    <row r="41" spans="1:11" x14ac:dyDescent="0.2">
      <c r="A41" s="30">
        <v>33</v>
      </c>
      <c r="B41" s="40" t="str">
        <f t="shared" si="2"/>
        <v>Research plus</v>
      </c>
      <c r="C41" s="31" t="str">
        <f>"2 - 20µl"</f>
        <v>2 - 20µl</v>
      </c>
      <c r="D41" s="31" t="str">
        <f>"273782A"</f>
        <v>273782A</v>
      </c>
      <c r="E41" s="31" t="str">
        <f t="shared" si="0"/>
        <v>2020-07-31</v>
      </c>
      <c r="F41" s="79"/>
      <c r="G41" s="31"/>
      <c r="H41" s="31"/>
      <c r="I41" s="5"/>
      <c r="J41" s="5"/>
      <c r="K41" s="5"/>
    </row>
    <row r="42" spans="1:11" x14ac:dyDescent="0.2">
      <c r="A42" s="30">
        <v>34</v>
      </c>
      <c r="B42" s="40" t="str">
        <f t="shared" si="2"/>
        <v>Research plus</v>
      </c>
      <c r="C42" s="31" t="str">
        <f>"0,5 - 10µl"</f>
        <v>0,5 - 10µl</v>
      </c>
      <c r="D42" s="31" t="str">
        <f>"3424851"</f>
        <v>3424851</v>
      </c>
      <c r="E42" s="31" t="str">
        <f t="shared" si="0"/>
        <v>2020-07-31</v>
      </c>
      <c r="F42" s="79"/>
      <c r="G42" s="31"/>
      <c r="H42" s="31"/>
      <c r="I42" s="5"/>
      <c r="J42" s="5"/>
      <c r="K42" s="5"/>
    </row>
    <row r="43" spans="1:11" x14ac:dyDescent="0.2">
      <c r="A43" s="30">
        <v>35</v>
      </c>
      <c r="B43" s="40" t="str">
        <f t="shared" si="2"/>
        <v>Research plus</v>
      </c>
      <c r="C43" s="31" t="str">
        <f>"2 - 20µl"</f>
        <v>2 - 20µl</v>
      </c>
      <c r="D43" s="31" t="str">
        <f>"1305429"</f>
        <v>1305429</v>
      </c>
      <c r="E43" s="31" t="str">
        <f t="shared" si="0"/>
        <v>2020-07-31</v>
      </c>
      <c r="F43" s="79"/>
      <c r="G43" s="31"/>
      <c r="H43" s="31"/>
      <c r="I43" s="5"/>
      <c r="J43" s="5"/>
      <c r="K43" s="5"/>
    </row>
    <row r="44" spans="1:11" x14ac:dyDescent="0.2">
      <c r="A44" s="30">
        <v>36</v>
      </c>
      <c r="B44" s="40" t="str">
        <f t="shared" si="2"/>
        <v>Research plus</v>
      </c>
      <c r="C44" s="31" t="str">
        <f>"20 - 200µl"</f>
        <v>20 - 200µl</v>
      </c>
      <c r="D44" s="31" t="str">
        <f>"2487319"</f>
        <v>2487319</v>
      </c>
      <c r="E44" s="31" t="str">
        <f t="shared" si="0"/>
        <v>2020-07-31</v>
      </c>
      <c r="F44" s="79"/>
      <c r="G44" s="31"/>
      <c r="H44" s="31"/>
      <c r="I44" s="5"/>
      <c r="J44" s="5"/>
      <c r="K44" s="5"/>
    </row>
    <row r="45" spans="1:11" x14ac:dyDescent="0.2">
      <c r="A45" s="30">
        <v>37</v>
      </c>
      <c r="B45" s="40" t="str">
        <f t="shared" si="2"/>
        <v>Research plus</v>
      </c>
      <c r="C45" s="31" t="str">
        <f>"100 - 1000µl"</f>
        <v>100 - 1000µl</v>
      </c>
      <c r="D45" s="31" t="str">
        <f>"2493089"</f>
        <v>2493089</v>
      </c>
      <c r="E45" s="31" t="str">
        <f t="shared" si="0"/>
        <v>2020-07-31</v>
      </c>
      <c r="F45" s="79"/>
      <c r="G45" s="31"/>
      <c r="H45" s="31"/>
      <c r="I45" s="5"/>
      <c r="J45" s="5"/>
      <c r="K45" s="5"/>
    </row>
    <row r="46" spans="1:11" x14ac:dyDescent="0.2">
      <c r="A46" s="30">
        <v>38</v>
      </c>
      <c r="B46" s="40" t="str">
        <f t="shared" si="2"/>
        <v>Research plus</v>
      </c>
      <c r="C46" s="31" t="str">
        <f>"2 - 20µl"</f>
        <v>2 - 20µl</v>
      </c>
      <c r="D46" s="31" t="str">
        <f>"336667A"</f>
        <v>336667A</v>
      </c>
      <c r="E46" s="31" t="str">
        <f t="shared" si="0"/>
        <v>2020-07-31</v>
      </c>
      <c r="F46" s="79"/>
      <c r="G46" s="31"/>
      <c r="H46" s="31"/>
      <c r="I46" s="5"/>
      <c r="J46" s="5"/>
      <c r="K46" s="5"/>
    </row>
    <row r="47" spans="1:11" x14ac:dyDescent="0.2">
      <c r="A47" s="30">
        <v>39</v>
      </c>
      <c r="B47" s="40" t="str">
        <f t="shared" si="2"/>
        <v>Research plus</v>
      </c>
      <c r="C47" s="31" t="str">
        <f>"2 - 20µl"</f>
        <v>2 - 20µl</v>
      </c>
      <c r="D47" s="31" t="str">
        <f>"P31579B"</f>
        <v>P31579B</v>
      </c>
      <c r="E47" s="31" t="str">
        <f t="shared" si="0"/>
        <v>2020-07-31</v>
      </c>
      <c r="F47" s="79"/>
      <c r="G47" s="31"/>
      <c r="H47" s="31"/>
      <c r="I47" s="5"/>
      <c r="J47" s="5"/>
      <c r="K47" s="5"/>
    </row>
    <row r="48" spans="1:11" x14ac:dyDescent="0.2">
      <c r="A48" s="30">
        <v>40</v>
      </c>
      <c r="B48" s="40" t="str">
        <f t="shared" si="2"/>
        <v>Research plus</v>
      </c>
      <c r="C48" s="31" t="str">
        <f t="shared" ref="C48:C55" si="3">"0,1 - 2,5µl"</f>
        <v>0,1 - 2,5µl</v>
      </c>
      <c r="D48" s="31" t="str">
        <f>"P10388G"</f>
        <v>P10388G</v>
      </c>
      <c r="E48" s="31" t="str">
        <f t="shared" si="0"/>
        <v>2020-07-31</v>
      </c>
      <c r="F48" s="79"/>
      <c r="G48" s="31"/>
      <c r="H48" s="31"/>
      <c r="I48" s="5"/>
      <c r="J48" s="5"/>
      <c r="K48" s="5"/>
    </row>
    <row r="49" spans="1:11" x14ac:dyDescent="0.2">
      <c r="A49" s="30">
        <v>41</v>
      </c>
      <c r="B49" s="40" t="str">
        <f t="shared" si="2"/>
        <v>Research plus</v>
      </c>
      <c r="C49" s="31" t="str">
        <f t="shared" si="3"/>
        <v>0,1 - 2,5µl</v>
      </c>
      <c r="D49" s="31" t="str">
        <f>"P10571G"</f>
        <v>P10571G</v>
      </c>
      <c r="E49" s="31" t="str">
        <f t="shared" si="0"/>
        <v>2020-07-31</v>
      </c>
      <c r="F49" s="79"/>
      <c r="G49" s="31"/>
      <c r="H49" s="31"/>
      <c r="I49" s="5"/>
      <c r="J49" s="5"/>
      <c r="K49" s="5"/>
    </row>
    <row r="50" spans="1:11" x14ac:dyDescent="0.2">
      <c r="A50" s="30">
        <v>42</v>
      </c>
      <c r="B50" s="40" t="str">
        <f t="shared" si="2"/>
        <v>Research plus</v>
      </c>
      <c r="C50" s="31" t="str">
        <f t="shared" si="3"/>
        <v>0,1 - 2,5µl</v>
      </c>
      <c r="D50" s="31" t="str">
        <f>"P10392G"</f>
        <v>P10392G</v>
      </c>
      <c r="E50" s="31" t="str">
        <f t="shared" si="0"/>
        <v>2020-07-31</v>
      </c>
      <c r="F50" s="79"/>
      <c r="G50" s="31"/>
      <c r="H50" s="31"/>
      <c r="I50" s="5"/>
      <c r="J50" s="5"/>
      <c r="K50" s="5"/>
    </row>
    <row r="51" spans="1:11" x14ac:dyDescent="0.2">
      <c r="A51" s="30">
        <v>43</v>
      </c>
      <c r="B51" s="40" t="str">
        <f t="shared" si="2"/>
        <v>Research plus</v>
      </c>
      <c r="C51" s="31" t="str">
        <f t="shared" si="3"/>
        <v>0,1 - 2,5µl</v>
      </c>
      <c r="D51" s="31" t="str">
        <f>"P10382G"</f>
        <v>P10382G</v>
      </c>
      <c r="E51" s="31" t="str">
        <f t="shared" si="0"/>
        <v>2020-07-31</v>
      </c>
      <c r="F51" s="79"/>
      <c r="G51" s="31"/>
      <c r="H51" s="31"/>
      <c r="I51" s="5"/>
      <c r="J51" s="5"/>
      <c r="K51" s="5"/>
    </row>
    <row r="52" spans="1:11" x14ac:dyDescent="0.2">
      <c r="A52" s="30">
        <v>44</v>
      </c>
      <c r="B52" s="40" t="str">
        <f t="shared" si="2"/>
        <v>Research plus</v>
      </c>
      <c r="C52" s="31" t="str">
        <f t="shared" si="3"/>
        <v>0,1 - 2,5µl</v>
      </c>
      <c r="D52" s="31" t="str">
        <f>"P10387G"</f>
        <v>P10387G</v>
      </c>
      <c r="E52" s="31" t="str">
        <f t="shared" si="0"/>
        <v>2020-07-31</v>
      </c>
      <c r="F52" s="79"/>
      <c r="G52" s="31"/>
      <c r="H52" s="31"/>
      <c r="I52" s="5"/>
      <c r="J52" s="5"/>
      <c r="K52" s="5"/>
    </row>
    <row r="53" spans="1:11" x14ac:dyDescent="0.2">
      <c r="A53" s="30">
        <v>45</v>
      </c>
      <c r="B53" s="40" t="str">
        <f t="shared" si="2"/>
        <v>Research plus</v>
      </c>
      <c r="C53" s="31" t="str">
        <f t="shared" si="3"/>
        <v>0,1 - 2,5µl</v>
      </c>
      <c r="D53" s="31" t="str">
        <f>"P10574G"</f>
        <v>P10574G</v>
      </c>
      <c r="E53" s="31" t="str">
        <f t="shared" si="0"/>
        <v>2020-07-31</v>
      </c>
      <c r="F53" s="79"/>
      <c r="G53" s="31"/>
      <c r="H53" s="31"/>
      <c r="I53" s="5"/>
      <c r="J53" s="5"/>
      <c r="K53" s="5"/>
    </row>
    <row r="54" spans="1:11" x14ac:dyDescent="0.2">
      <c r="A54" s="30">
        <v>46</v>
      </c>
      <c r="B54" s="40" t="str">
        <f t="shared" si="2"/>
        <v>Research plus</v>
      </c>
      <c r="C54" s="31" t="str">
        <f t="shared" si="3"/>
        <v>0,1 - 2,5µl</v>
      </c>
      <c r="D54" s="31" t="str">
        <f>"P10390G"</f>
        <v>P10390G</v>
      </c>
      <c r="E54" s="31" t="str">
        <f t="shared" si="0"/>
        <v>2020-07-31</v>
      </c>
      <c r="F54" s="79"/>
      <c r="G54" s="31"/>
      <c r="H54" s="31"/>
      <c r="I54" s="5"/>
      <c r="J54" s="5"/>
      <c r="K54" s="5"/>
    </row>
    <row r="55" spans="1:11" x14ac:dyDescent="0.2">
      <c r="A55" s="30">
        <v>47</v>
      </c>
      <c r="B55" s="40" t="str">
        <f t="shared" si="2"/>
        <v>Research plus</v>
      </c>
      <c r="C55" s="31" t="str">
        <f t="shared" si="3"/>
        <v>0,1 - 2,5µl</v>
      </c>
      <c r="D55" s="31" t="str">
        <f>"P10386G"</f>
        <v>P10386G</v>
      </c>
      <c r="E55" s="31" t="str">
        <f t="shared" si="0"/>
        <v>2020-07-31</v>
      </c>
      <c r="F55" s="79"/>
      <c r="G55" s="31"/>
      <c r="H55" s="31"/>
      <c r="I55" s="5"/>
      <c r="J55" s="5"/>
      <c r="K55" s="5"/>
    </row>
    <row r="56" spans="1:11" x14ac:dyDescent="0.2">
      <c r="A56" s="30">
        <v>48</v>
      </c>
      <c r="B56" s="40" t="str">
        <f t="shared" si="2"/>
        <v>Research plus</v>
      </c>
      <c r="C56" s="31" t="str">
        <f t="shared" ref="C56:C65" si="4">"0,5 - 10µl"</f>
        <v>0,5 - 10µl</v>
      </c>
      <c r="D56" s="31" t="str">
        <f>"O13994G"</f>
        <v>O13994G</v>
      </c>
      <c r="E56" s="31" t="str">
        <f t="shared" si="0"/>
        <v>2020-07-31</v>
      </c>
      <c r="F56" s="79"/>
      <c r="G56" s="31"/>
      <c r="H56" s="31"/>
      <c r="I56" s="5"/>
      <c r="J56" s="5"/>
      <c r="K56" s="5"/>
    </row>
    <row r="57" spans="1:11" x14ac:dyDescent="0.2">
      <c r="A57" s="30">
        <v>49</v>
      </c>
      <c r="B57" s="40" t="str">
        <f t="shared" si="2"/>
        <v>Research plus</v>
      </c>
      <c r="C57" s="31" t="str">
        <f t="shared" si="4"/>
        <v>0,5 - 10µl</v>
      </c>
      <c r="D57" s="31" t="str">
        <f>"O13993G"</f>
        <v>O13993G</v>
      </c>
      <c r="E57" s="31" t="str">
        <f t="shared" si="0"/>
        <v>2020-07-31</v>
      </c>
      <c r="F57" s="79"/>
      <c r="G57" s="31"/>
      <c r="H57" s="31"/>
      <c r="I57" s="5"/>
      <c r="J57" s="5"/>
      <c r="K57" s="5"/>
    </row>
    <row r="58" spans="1:11" x14ac:dyDescent="0.2">
      <c r="A58" s="30">
        <v>50</v>
      </c>
      <c r="B58" s="40" t="str">
        <f t="shared" si="2"/>
        <v>Research plus</v>
      </c>
      <c r="C58" s="31" t="str">
        <f t="shared" si="4"/>
        <v>0,5 - 10µl</v>
      </c>
      <c r="D58" s="31" t="str">
        <f>"O13995G"</f>
        <v>O13995G</v>
      </c>
      <c r="E58" s="31" t="str">
        <f t="shared" si="0"/>
        <v>2020-07-31</v>
      </c>
      <c r="F58" s="79"/>
      <c r="G58" s="31"/>
      <c r="H58" s="31"/>
      <c r="I58" s="5"/>
      <c r="J58" s="5"/>
      <c r="K58" s="5"/>
    </row>
    <row r="59" spans="1:11" x14ac:dyDescent="0.2">
      <c r="A59" s="30">
        <v>51</v>
      </c>
      <c r="B59" s="40" t="str">
        <f t="shared" si="2"/>
        <v>Research plus</v>
      </c>
      <c r="C59" s="31" t="str">
        <f t="shared" si="4"/>
        <v>0,5 - 10µl</v>
      </c>
      <c r="D59" s="31" t="str">
        <f>"O13610G"</f>
        <v>O13610G</v>
      </c>
      <c r="E59" s="31" t="str">
        <f t="shared" si="0"/>
        <v>2020-07-31</v>
      </c>
      <c r="F59" s="79"/>
      <c r="G59" s="31"/>
      <c r="H59" s="31"/>
      <c r="I59" s="5"/>
      <c r="J59" s="5"/>
      <c r="K59" s="5"/>
    </row>
    <row r="60" spans="1:11" x14ac:dyDescent="0.2">
      <c r="A60" s="30">
        <v>52</v>
      </c>
      <c r="B60" s="40" t="str">
        <f t="shared" si="2"/>
        <v>Research plus</v>
      </c>
      <c r="C60" s="31" t="str">
        <f t="shared" si="4"/>
        <v>0,5 - 10µl</v>
      </c>
      <c r="D60" s="31" t="str">
        <f>"O14001G"</f>
        <v>O14001G</v>
      </c>
      <c r="E60" s="31" t="str">
        <f t="shared" si="0"/>
        <v>2020-07-31</v>
      </c>
      <c r="F60" s="79"/>
      <c r="G60" s="31"/>
      <c r="H60" s="31"/>
      <c r="I60" s="5"/>
      <c r="J60" s="5"/>
      <c r="K60" s="5"/>
    </row>
    <row r="61" spans="1:11" x14ac:dyDescent="0.2">
      <c r="A61" s="30">
        <v>53</v>
      </c>
      <c r="B61" s="40" t="str">
        <f t="shared" si="2"/>
        <v>Research plus</v>
      </c>
      <c r="C61" s="31" t="str">
        <f t="shared" si="4"/>
        <v>0,5 - 10µl</v>
      </c>
      <c r="D61" s="31" t="str">
        <f>"O13722G"</f>
        <v>O13722G</v>
      </c>
      <c r="E61" s="31" t="str">
        <f t="shared" si="0"/>
        <v>2020-07-31</v>
      </c>
      <c r="F61" s="79"/>
      <c r="G61" s="31"/>
      <c r="H61" s="31"/>
      <c r="I61" s="5"/>
      <c r="J61" s="5"/>
      <c r="K61" s="5"/>
    </row>
    <row r="62" spans="1:11" x14ac:dyDescent="0.2">
      <c r="A62" s="30">
        <v>54</v>
      </c>
      <c r="B62" s="40" t="str">
        <f t="shared" si="2"/>
        <v>Research plus</v>
      </c>
      <c r="C62" s="31" t="str">
        <f t="shared" si="4"/>
        <v>0,5 - 10µl</v>
      </c>
      <c r="D62" s="31" t="str">
        <f>"O13539G"</f>
        <v>O13539G</v>
      </c>
      <c r="E62" s="31" t="str">
        <f t="shared" si="0"/>
        <v>2020-07-31</v>
      </c>
      <c r="F62" s="79"/>
      <c r="G62" s="31"/>
      <c r="H62" s="31"/>
      <c r="I62" s="5"/>
      <c r="J62" s="5"/>
      <c r="K62" s="5"/>
    </row>
    <row r="63" spans="1:11" x14ac:dyDescent="0.2">
      <c r="A63" s="30">
        <v>55</v>
      </c>
      <c r="B63" s="40" t="str">
        <f t="shared" si="2"/>
        <v>Research plus</v>
      </c>
      <c r="C63" s="31" t="str">
        <f t="shared" si="4"/>
        <v>0,5 - 10µl</v>
      </c>
      <c r="D63" s="31" t="str">
        <f>"O13937G"</f>
        <v>O13937G</v>
      </c>
      <c r="E63" s="31" t="str">
        <f t="shared" si="0"/>
        <v>2020-07-31</v>
      </c>
      <c r="F63" s="79"/>
      <c r="G63" s="31"/>
      <c r="H63" s="31"/>
      <c r="I63" s="5"/>
      <c r="J63" s="5"/>
      <c r="K63" s="5"/>
    </row>
    <row r="64" spans="1:11" x14ac:dyDescent="0.2">
      <c r="A64" s="30">
        <v>56</v>
      </c>
      <c r="B64" s="40" t="str">
        <f t="shared" si="2"/>
        <v>Research plus</v>
      </c>
      <c r="C64" s="31" t="str">
        <f t="shared" si="4"/>
        <v>0,5 - 10µl</v>
      </c>
      <c r="D64" s="31" t="str">
        <f>"O13942G"</f>
        <v>O13942G</v>
      </c>
      <c r="E64" s="31" t="str">
        <f t="shared" si="0"/>
        <v>2020-07-31</v>
      </c>
      <c r="F64" s="79"/>
      <c r="G64" s="31"/>
      <c r="H64" s="31"/>
      <c r="I64" s="5"/>
      <c r="J64" s="5"/>
      <c r="K64" s="5"/>
    </row>
    <row r="65" spans="1:11" x14ac:dyDescent="0.2">
      <c r="A65" s="30">
        <v>57</v>
      </c>
      <c r="B65" s="40" t="str">
        <f t="shared" si="2"/>
        <v>Research plus</v>
      </c>
      <c r="C65" s="31" t="str">
        <f t="shared" si="4"/>
        <v>0,5 - 10µl</v>
      </c>
      <c r="D65" s="31" t="str">
        <f>"O13603G"</f>
        <v>O13603G</v>
      </c>
      <c r="E65" s="31" t="str">
        <f t="shared" si="0"/>
        <v>2020-07-31</v>
      </c>
      <c r="F65" s="79"/>
      <c r="G65" s="31"/>
      <c r="H65" s="31"/>
      <c r="I65" s="5"/>
      <c r="J65" s="5"/>
      <c r="K65" s="5"/>
    </row>
    <row r="66" spans="1:11" x14ac:dyDescent="0.2">
      <c r="A66" s="30">
        <v>58</v>
      </c>
      <c r="B66" s="40" t="str">
        <f t="shared" si="2"/>
        <v>Research plus</v>
      </c>
      <c r="C66" s="31" t="str">
        <f t="shared" ref="C66:C77" si="5">"2,0 - 20µl"</f>
        <v>2,0 - 20µl</v>
      </c>
      <c r="D66" s="31" t="str">
        <f>"O24226G"</f>
        <v>O24226G</v>
      </c>
      <c r="E66" s="31" t="str">
        <f t="shared" si="0"/>
        <v>2020-07-31</v>
      </c>
      <c r="F66" s="79"/>
      <c r="G66" s="31"/>
      <c r="H66" s="31"/>
      <c r="I66" s="5"/>
      <c r="J66" s="5"/>
      <c r="K66" s="5"/>
    </row>
    <row r="67" spans="1:11" x14ac:dyDescent="0.2">
      <c r="A67" s="30">
        <v>59</v>
      </c>
      <c r="B67" s="40" t="str">
        <f t="shared" si="2"/>
        <v>Research plus</v>
      </c>
      <c r="C67" s="31" t="str">
        <f t="shared" si="5"/>
        <v>2,0 - 20µl</v>
      </c>
      <c r="D67" s="31" t="str">
        <f>"O24214G"</f>
        <v>O24214G</v>
      </c>
      <c r="E67" s="31" t="str">
        <f t="shared" si="0"/>
        <v>2020-07-31</v>
      </c>
      <c r="F67" s="79"/>
      <c r="G67" s="31"/>
      <c r="H67" s="31"/>
      <c r="I67" s="5"/>
      <c r="J67" s="5"/>
      <c r="K67" s="5"/>
    </row>
    <row r="68" spans="1:11" x14ac:dyDescent="0.2">
      <c r="A68" s="30">
        <v>60</v>
      </c>
      <c r="B68" s="40" t="str">
        <f t="shared" si="2"/>
        <v>Research plus</v>
      </c>
      <c r="C68" s="31" t="str">
        <f t="shared" si="5"/>
        <v>2,0 - 20µl</v>
      </c>
      <c r="D68" s="31" t="str">
        <f>"O24105G"</f>
        <v>O24105G</v>
      </c>
      <c r="E68" s="31" t="str">
        <f t="shared" si="0"/>
        <v>2020-07-31</v>
      </c>
      <c r="F68" s="79"/>
      <c r="G68" s="31"/>
      <c r="H68" s="31"/>
      <c r="I68" s="5"/>
      <c r="J68" s="5"/>
      <c r="K68" s="5"/>
    </row>
    <row r="69" spans="1:11" x14ac:dyDescent="0.2">
      <c r="A69" s="30">
        <v>61</v>
      </c>
      <c r="B69" s="40" t="str">
        <f t="shared" si="2"/>
        <v>Research plus</v>
      </c>
      <c r="C69" s="31" t="str">
        <f t="shared" si="5"/>
        <v>2,0 - 20µl</v>
      </c>
      <c r="D69" s="31" t="str">
        <f>"O24218G"</f>
        <v>O24218G</v>
      </c>
      <c r="E69" s="31" t="str">
        <f t="shared" si="0"/>
        <v>2020-07-31</v>
      </c>
      <c r="F69" s="79"/>
      <c r="G69" s="31"/>
      <c r="H69" s="31"/>
      <c r="I69" s="5"/>
      <c r="J69" s="5"/>
      <c r="K69" s="5"/>
    </row>
    <row r="70" spans="1:11" x14ac:dyDescent="0.2">
      <c r="A70" s="30">
        <v>62</v>
      </c>
      <c r="B70" s="40" t="str">
        <f t="shared" si="2"/>
        <v>Research plus</v>
      </c>
      <c r="C70" s="31" t="str">
        <f t="shared" si="5"/>
        <v>2,0 - 20µl</v>
      </c>
      <c r="D70" s="31" t="str">
        <f>"O24302G"</f>
        <v>O24302G</v>
      </c>
      <c r="E70" s="31" t="str">
        <f t="shared" si="0"/>
        <v>2020-07-31</v>
      </c>
      <c r="F70" s="79"/>
      <c r="G70" s="31"/>
      <c r="H70" s="31"/>
      <c r="I70" s="5"/>
      <c r="J70" s="5"/>
      <c r="K70" s="5"/>
    </row>
    <row r="71" spans="1:11" x14ac:dyDescent="0.2">
      <c r="A71" s="30">
        <v>63</v>
      </c>
      <c r="B71" s="40" t="str">
        <f t="shared" si="2"/>
        <v>Research plus</v>
      </c>
      <c r="C71" s="31" t="str">
        <f t="shared" si="5"/>
        <v>2,0 - 20µl</v>
      </c>
      <c r="D71" s="31" t="str">
        <f>"O24257G"</f>
        <v>O24257G</v>
      </c>
      <c r="E71" s="31" t="str">
        <f t="shared" si="0"/>
        <v>2020-07-31</v>
      </c>
      <c r="F71" s="79"/>
      <c r="G71" s="31"/>
      <c r="H71" s="31"/>
      <c r="I71" s="5"/>
      <c r="J71" s="5"/>
      <c r="K71" s="5"/>
    </row>
    <row r="72" spans="1:11" x14ac:dyDescent="0.2">
      <c r="A72" s="30">
        <v>64</v>
      </c>
      <c r="B72" s="40" t="str">
        <f t="shared" si="2"/>
        <v>Research plus</v>
      </c>
      <c r="C72" s="31" t="str">
        <f t="shared" si="5"/>
        <v>2,0 - 20µl</v>
      </c>
      <c r="D72" s="31" t="str">
        <f>"O23925G"</f>
        <v>O23925G</v>
      </c>
      <c r="E72" s="31" t="str">
        <f t="shared" si="0"/>
        <v>2020-07-31</v>
      </c>
      <c r="F72" s="79"/>
      <c r="G72" s="31"/>
      <c r="H72" s="31"/>
      <c r="I72" s="5"/>
      <c r="J72" s="5"/>
      <c r="K72" s="5"/>
    </row>
    <row r="73" spans="1:11" x14ac:dyDescent="0.2">
      <c r="A73" s="30">
        <v>65</v>
      </c>
      <c r="B73" s="40" t="str">
        <f t="shared" si="2"/>
        <v>Research plus</v>
      </c>
      <c r="C73" s="31" t="str">
        <f t="shared" si="5"/>
        <v>2,0 - 20µl</v>
      </c>
      <c r="D73" s="31" t="str">
        <f>"O24359G"</f>
        <v>O24359G</v>
      </c>
      <c r="E73" s="31" t="str">
        <f t="shared" si="0"/>
        <v>2020-07-31</v>
      </c>
      <c r="F73" s="79"/>
      <c r="G73" s="31"/>
      <c r="H73" s="31"/>
      <c r="I73" s="5"/>
      <c r="J73" s="5"/>
      <c r="K73" s="5"/>
    </row>
    <row r="74" spans="1:11" x14ac:dyDescent="0.2">
      <c r="A74" s="30">
        <v>66</v>
      </c>
      <c r="B74" s="40" t="str">
        <f t="shared" si="2"/>
        <v>Research plus</v>
      </c>
      <c r="C74" s="31" t="str">
        <f t="shared" si="5"/>
        <v>2,0 - 20µl</v>
      </c>
      <c r="D74" s="31" t="str">
        <f>"O24074G"</f>
        <v>O24074G</v>
      </c>
      <c r="E74" s="31" t="str">
        <f t="shared" ref="E74:E120" si="6">"2020-07-31"</f>
        <v>2020-07-31</v>
      </c>
      <c r="F74" s="79"/>
      <c r="G74" s="31"/>
      <c r="H74" s="31"/>
      <c r="I74" s="5"/>
      <c r="J74" s="5"/>
      <c r="K74" s="5"/>
    </row>
    <row r="75" spans="1:11" x14ac:dyDescent="0.2">
      <c r="A75" s="30">
        <v>67</v>
      </c>
      <c r="B75" s="40" t="str">
        <f t="shared" si="2"/>
        <v>Research plus</v>
      </c>
      <c r="C75" s="31" t="str">
        <f t="shared" si="5"/>
        <v>2,0 - 20µl</v>
      </c>
      <c r="D75" s="31" t="str">
        <f>"O24361G"</f>
        <v>O24361G</v>
      </c>
      <c r="E75" s="31" t="str">
        <f t="shared" si="6"/>
        <v>2020-07-31</v>
      </c>
      <c r="F75" s="79"/>
      <c r="G75" s="31"/>
      <c r="H75" s="31"/>
      <c r="I75" s="5"/>
      <c r="J75" s="5"/>
      <c r="K75" s="5"/>
    </row>
    <row r="76" spans="1:11" x14ac:dyDescent="0.2">
      <c r="A76" s="30">
        <v>68</v>
      </c>
      <c r="B76" s="40" t="str">
        <f t="shared" si="2"/>
        <v>Research plus</v>
      </c>
      <c r="C76" s="31" t="str">
        <f t="shared" si="5"/>
        <v>2,0 - 20µl</v>
      </c>
      <c r="D76" s="31" t="str">
        <f>"O24320G"</f>
        <v>O24320G</v>
      </c>
      <c r="E76" s="31" t="str">
        <f t="shared" si="6"/>
        <v>2020-07-31</v>
      </c>
      <c r="F76" s="79"/>
      <c r="G76" s="31"/>
      <c r="H76" s="31"/>
      <c r="I76" s="5"/>
      <c r="J76" s="5"/>
      <c r="K76" s="5"/>
    </row>
    <row r="77" spans="1:11" x14ac:dyDescent="0.2">
      <c r="A77" s="30">
        <v>69</v>
      </c>
      <c r="B77" s="40" t="str">
        <f t="shared" si="2"/>
        <v>Research plus</v>
      </c>
      <c r="C77" s="31" t="str">
        <f t="shared" si="5"/>
        <v>2,0 - 20µl</v>
      </c>
      <c r="D77" s="31" t="str">
        <f>"O24222G"</f>
        <v>O24222G</v>
      </c>
      <c r="E77" s="31" t="str">
        <f t="shared" si="6"/>
        <v>2020-07-31</v>
      </c>
      <c r="F77" s="79"/>
      <c r="G77" s="31"/>
      <c r="H77" s="31"/>
      <c r="I77" s="5"/>
      <c r="J77" s="5"/>
      <c r="K77" s="5"/>
    </row>
    <row r="78" spans="1:11" x14ac:dyDescent="0.2">
      <c r="A78" s="30">
        <v>70</v>
      </c>
      <c r="B78" s="40" t="str">
        <f t="shared" si="2"/>
        <v>Research plus</v>
      </c>
      <c r="C78" s="31" t="str">
        <f t="shared" ref="C78:C84" si="7">"10 - 100µl"</f>
        <v>10 - 100µl</v>
      </c>
      <c r="D78" s="31" t="str">
        <f>"N37094G"</f>
        <v>N37094G</v>
      </c>
      <c r="E78" s="31" t="str">
        <f t="shared" si="6"/>
        <v>2020-07-31</v>
      </c>
      <c r="F78" s="79"/>
      <c r="G78" s="31"/>
      <c r="H78" s="31"/>
      <c r="I78" s="5"/>
      <c r="J78" s="5"/>
      <c r="K78" s="5"/>
    </row>
    <row r="79" spans="1:11" x14ac:dyDescent="0.2">
      <c r="A79" s="30">
        <v>71</v>
      </c>
      <c r="B79" s="40" t="str">
        <f t="shared" si="2"/>
        <v>Research plus</v>
      </c>
      <c r="C79" s="31" t="str">
        <f t="shared" si="7"/>
        <v>10 - 100µl</v>
      </c>
      <c r="D79" s="31" t="str">
        <f>"N37087G"</f>
        <v>N37087G</v>
      </c>
      <c r="E79" s="31" t="str">
        <f t="shared" si="6"/>
        <v>2020-07-31</v>
      </c>
      <c r="F79" s="79"/>
      <c r="G79" s="31"/>
      <c r="H79" s="31"/>
      <c r="I79" s="5"/>
      <c r="J79" s="5"/>
      <c r="K79" s="5"/>
    </row>
    <row r="80" spans="1:11" x14ac:dyDescent="0.2">
      <c r="A80" s="30">
        <v>72</v>
      </c>
      <c r="B80" s="40" t="str">
        <f t="shared" si="2"/>
        <v>Research plus</v>
      </c>
      <c r="C80" s="31" t="str">
        <f t="shared" si="7"/>
        <v>10 - 100µl</v>
      </c>
      <c r="D80" s="31" t="str">
        <f>"N37042G"</f>
        <v>N37042G</v>
      </c>
      <c r="E80" s="31" t="str">
        <f t="shared" si="6"/>
        <v>2020-07-31</v>
      </c>
      <c r="F80" s="79"/>
      <c r="G80" s="31"/>
      <c r="H80" s="31"/>
      <c r="I80" s="5"/>
      <c r="J80" s="5"/>
      <c r="K80" s="5"/>
    </row>
    <row r="81" spans="1:11" x14ac:dyDescent="0.2">
      <c r="A81" s="30">
        <v>73</v>
      </c>
      <c r="B81" s="40" t="str">
        <f t="shared" si="2"/>
        <v>Research plus</v>
      </c>
      <c r="C81" s="31" t="str">
        <f t="shared" si="7"/>
        <v>10 - 100µl</v>
      </c>
      <c r="D81" s="31" t="str">
        <f>"N36966G"</f>
        <v>N36966G</v>
      </c>
      <c r="E81" s="31" t="str">
        <f t="shared" si="6"/>
        <v>2020-07-31</v>
      </c>
      <c r="F81" s="79"/>
      <c r="G81" s="31"/>
      <c r="H81" s="31"/>
      <c r="I81" s="5"/>
      <c r="J81" s="5"/>
      <c r="K81" s="5"/>
    </row>
    <row r="82" spans="1:11" x14ac:dyDescent="0.2">
      <c r="A82" s="30">
        <v>74</v>
      </c>
      <c r="B82" s="40" t="str">
        <f t="shared" si="2"/>
        <v>Research plus</v>
      </c>
      <c r="C82" s="31" t="str">
        <f t="shared" si="7"/>
        <v>10 - 100µl</v>
      </c>
      <c r="D82" s="31" t="str">
        <f>"N37036G"</f>
        <v>N37036G</v>
      </c>
      <c r="E82" s="31" t="str">
        <f t="shared" si="6"/>
        <v>2020-07-31</v>
      </c>
      <c r="F82" s="79"/>
      <c r="G82" s="31"/>
      <c r="H82" s="31"/>
      <c r="I82" s="5"/>
      <c r="J82" s="5"/>
      <c r="K82" s="5"/>
    </row>
    <row r="83" spans="1:11" x14ac:dyDescent="0.2">
      <c r="A83" s="30">
        <v>75</v>
      </c>
      <c r="B83" s="40" t="str">
        <f t="shared" si="2"/>
        <v>Research plus</v>
      </c>
      <c r="C83" s="31" t="str">
        <f t="shared" si="7"/>
        <v>10 - 100µl</v>
      </c>
      <c r="D83" s="31" t="str">
        <f>"N36961G"</f>
        <v>N36961G</v>
      </c>
      <c r="E83" s="31" t="str">
        <f t="shared" si="6"/>
        <v>2020-07-31</v>
      </c>
      <c r="F83" s="79"/>
      <c r="G83" s="31"/>
      <c r="H83" s="31"/>
      <c r="I83" s="5"/>
      <c r="J83" s="5"/>
      <c r="K83" s="5"/>
    </row>
    <row r="84" spans="1:11" x14ac:dyDescent="0.2">
      <c r="A84" s="30">
        <v>76</v>
      </c>
      <c r="B84" s="40" t="str">
        <f t="shared" si="2"/>
        <v>Research plus</v>
      </c>
      <c r="C84" s="31" t="str">
        <f t="shared" si="7"/>
        <v>10 - 100µl</v>
      </c>
      <c r="D84" s="31" t="str">
        <f>"N37093G"</f>
        <v>N37093G</v>
      </c>
      <c r="E84" s="31" t="str">
        <f t="shared" si="6"/>
        <v>2020-07-31</v>
      </c>
      <c r="F84" s="79"/>
      <c r="G84" s="31"/>
      <c r="H84" s="31"/>
      <c r="I84" s="5"/>
      <c r="J84" s="5"/>
      <c r="K84" s="5"/>
    </row>
    <row r="85" spans="1:11" x14ac:dyDescent="0.2">
      <c r="A85" s="30">
        <v>77</v>
      </c>
      <c r="B85" s="40" t="str">
        <f t="shared" si="2"/>
        <v>Research plus</v>
      </c>
      <c r="C85" s="31" t="str">
        <f t="shared" ref="C85:C96" si="8">"20 - 200µl"</f>
        <v>20 - 200µl</v>
      </c>
      <c r="D85" s="31" t="str">
        <f>"O22813G"</f>
        <v>O22813G</v>
      </c>
      <c r="E85" s="31" t="str">
        <f t="shared" si="6"/>
        <v>2020-07-31</v>
      </c>
      <c r="F85" s="79"/>
      <c r="G85" s="31"/>
      <c r="H85" s="31"/>
      <c r="I85" s="5"/>
      <c r="J85" s="5"/>
      <c r="K85" s="5"/>
    </row>
    <row r="86" spans="1:11" x14ac:dyDescent="0.2">
      <c r="A86" s="30">
        <v>78</v>
      </c>
      <c r="B86" s="40" t="str">
        <f t="shared" si="2"/>
        <v>Research plus</v>
      </c>
      <c r="C86" s="31" t="str">
        <f t="shared" si="8"/>
        <v>20 - 200µl</v>
      </c>
      <c r="D86" s="31" t="str">
        <f>"O22522G"</f>
        <v>O22522G</v>
      </c>
      <c r="E86" s="31" t="str">
        <f t="shared" si="6"/>
        <v>2020-07-31</v>
      </c>
      <c r="F86" s="79"/>
      <c r="G86" s="31"/>
      <c r="H86" s="31"/>
      <c r="I86" s="5"/>
      <c r="J86" s="5"/>
      <c r="K86" s="5"/>
    </row>
    <row r="87" spans="1:11" x14ac:dyDescent="0.2">
      <c r="A87" s="30">
        <v>79</v>
      </c>
      <c r="B87" s="40" t="str">
        <f t="shared" si="2"/>
        <v>Research plus</v>
      </c>
      <c r="C87" s="31" t="str">
        <f t="shared" si="8"/>
        <v>20 - 200µl</v>
      </c>
      <c r="D87" s="31" t="str">
        <f>"O22468G"</f>
        <v>O22468G</v>
      </c>
      <c r="E87" s="31" t="str">
        <f t="shared" si="6"/>
        <v>2020-07-31</v>
      </c>
      <c r="F87" s="79"/>
      <c r="G87" s="31"/>
      <c r="H87" s="31"/>
      <c r="I87" s="5"/>
      <c r="J87" s="5"/>
      <c r="K87" s="5"/>
    </row>
    <row r="88" spans="1:11" x14ac:dyDescent="0.2">
      <c r="A88" s="30">
        <v>80</v>
      </c>
      <c r="B88" s="40" t="str">
        <f t="shared" si="2"/>
        <v>Research plus</v>
      </c>
      <c r="C88" s="31" t="str">
        <f t="shared" si="8"/>
        <v>20 - 200µl</v>
      </c>
      <c r="D88" s="31" t="str">
        <f>"O22815G"</f>
        <v>O22815G</v>
      </c>
      <c r="E88" s="31" t="str">
        <f t="shared" si="6"/>
        <v>2020-07-31</v>
      </c>
      <c r="F88" s="79"/>
      <c r="G88" s="31"/>
      <c r="H88" s="31"/>
      <c r="I88" s="5"/>
      <c r="J88" s="5"/>
      <c r="K88" s="5"/>
    </row>
    <row r="89" spans="1:11" x14ac:dyDescent="0.2">
      <c r="A89" s="30">
        <v>81</v>
      </c>
      <c r="B89" s="40" t="str">
        <f t="shared" si="2"/>
        <v>Research plus</v>
      </c>
      <c r="C89" s="31" t="str">
        <f t="shared" si="8"/>
        <v>20 - 200µl</v>
      </c>
      <c r="D89" s="31" t="str">
        <f>"O22790G"</f>
        <v>O22790G</v>
      </c>
      <c r="E89" s="31" t="str">
        <f t="shared" si="6"/>
        <v>2020-07-31</v>
      </c>
      <c r="F89" s="79"/>
      <c r="G89" s="31"/>
      <c r="H89" s="31"/>
      <c r="I89" s="5"/>
      <c r="J89" s="5"/>
      <c r="K89" s="5"/>
    </row>
    <row r="90" spans="1:11" x14ac:dyDescent="0.2">
      <c r="A90" s="30">
        <v>82</v>
      </c>
      <c r="B90" s="40" t="str">
        <f t="shared" si="2"/>
        <v>Research plus</v>
      </c>
      <c r="C90" s="31" t="str">
        <f t="shared" si="8"/>
        <v>20 - 200µl</v>
      </c>
      <c r="D90" s="31" t="str">
        <f>"O22533G"</f>
        <v>O22533G</v>
      </c>
      <c r="E90" s="31" t="str">
        <f t="shared" si="6"/>
        <v>2020-07-31</v>
      </c>
      <c r="F90" s="79"/>
      <c r="G90" s="31"/>
      <c r="H90" s="31"/>
      <c r="I90" s="5"/>
      <c r="J90" s="5"/>
      <c r="K90" s="5"/>
    </row>
    <row r="91" spans="1:11" x14ac:dyDescent="0.2">
      <c r="A91" s="30">
        <v>83</v>
      </c>
      <c r="B91" s="40" t="str">
        <f t="shared" si="2"/>
        <v>Research plus</v>
      </c>
      <c r="C91" s="31" t="str">
        <f t="shared" si="8"/>
        <v>20 - 200µl</v>
      </c>
      <c r="D91" s="31" t="str">
        <f>"O22804G"</f>
        <v>O22804G</v>
      </c>
      <c r="E91" s="31" t="str">
        <f t="shared" si="6"/>
        <v>2020-07-31</v>
      </c>
      <c r="F91" s="79"/>
      <c r="G91" s="31"/>
      <c r="H91" s="31"/>
      <c r="I91" s="5"/>
      <c r="J91" s="5"/>
      <c r="K91" s="5"/>
    </row>
    <row r="92" spans="1:11" x14ac:dyDescent="0.2">
      <c r="A92" s="30">
        <v>84</v>
      </c>
      <c r="B92" s="40" t="str">
        <f t="shared" si="2"/>
        <v>Research plus</v>
      </c>
      <c r="C92" s="31" t="str">
        <f t="shared" si="8"/>
        <v>20 - 200µl</v>
      </c>
      <c r="D92" s="31" t="str">
        <f>"O22532G"</f>
        <v>O22532G</v>
      </c>
      <c r="E92" s="31" t="str">
        <f t="shared" si="6"/>
        <v>2020-07-31</v>
      </c>
      <c r="F92" s="79"/>
      <c r="G92" s="31"/>
      <c r="H92" s="31"/>
      <c r="I92" s="5"/>
      <c r="J92" s="5"/>
      <c r="K92" s="5"/>
    </row>
    <row r="93" spans="1:11" x14ac:dyDescent="0.2">
      <c r="A93" s="30">
        <v>85</v>
      </c>
      <c r="B93" s="40" t="str">
        <f t="shared" si="2"/>
        <v>Research plus</v>
      </c>
      <c r="C93" s="31" t="str">
        <f t="shared" si="8"/>
        <v>20 - 200µl</v>
      </c>
      <c r="D93" s="31" t="str">
        <f>"O22799G"</f>
        <v>O22799G</v>
      </c>
      <c r="E93" s="31" t="str">
        <f t="shared" si="6"/>
        <v>2020-07-31</v>
      </c>
      <c r="F93" s="79"/>
      <c r="G93" s="31"/>
      <c r="H93" s="31"/>
      <c r="I93" s="5"/>
      <c r="J93" s="5"/>
      <c r="K93" s="5"/>
    </row>
    <row r="94" spans="1:11" x14ac:dyDescent="0.2">
      <c r="A94" s="30">
        <v>86</v>
      </c>
      <c r="B94" s="40" t="str">
        <f t="shared" ref="B94:B113" si="9">"Research plus"</f>
        <v>Research plus</v>
      </c>
      <c r="C94" s="31" t="str">
        <f t="shared" si="8"/>
        <v>20 - 200µl</v>
      </c>
      <c r="D94" s="31" t="str">
        <f>"O22767G"</f>
        <v>O22767G</v>
      </c>
      <c r="E94" s="31" t="str">
        <f t="shared" si="6"/>
        <v>2020-07-31</v>
      </c>
      <c r="F94" s="79"/>
      <c r="G94" s="31"/>
      <c r="H94" s="31"/>
      <c r="I94" s="5"/>
      <c r="J94" s="5"/>
      <c r="K94" s="5"/>
    </row>
    <row r="95" spans="1:11" x14ac:dyDescent="0.2">
      <c r="A95" s="30">
        <v>87</v>
      </c>
      <c r="B95" s="40" t="str">
        <f t="shared" si="9"/>
        <v>Research plus</v>
      </c>
      <c r="C95" s="31" t="str">
        <f t="shared" si="8"/>
        <v>20 - 200µl</v>
      </c>
      <c r="D95" s="31" t="str">
        <f>"O22681G"</f>
        <v>O22681G</v>
      </c>
      <c r="E95" s="31" t="str">
        <f t="shared" si="6"/>
        <v>2020-07-31</v>
      </c>
      <c r="F95" s="79"/>
      <c r="G95" s="31"/>
      <c r="H95" s="31"/>
      <c r="I95" s="5"/>
      <c r="J95" s="5"/>
      <c r="K95" s="5"/>
    </row>
    <row r="96" spans="1:11" x14ac:dyDescent="0.2">
      <c r="A96" s="30">
        <v>88</v>
      </c>
      <c r="B96" s="40" t="str">
        <f t="shared" si="9"/>
        <v>Research plus</v>
      </c>
      <c r="C96" s="31" t="str">
        <f t="shared" si="8"/>
        <v>20 - 200µl</v>
      </c>
      <c r="D96" s="31" t="str">
        <f>"O22562G"</f>
        <v>O22562G</v>
      </c>
      <c r="E96" s="31" t="str">
        <f t="shared" si="6"/>
        <v>2020-07-31</v>
      </c>
      <c r="F96" s="79"/>
      <c r="G96" s="31"/>
      <c r="H96" s="31"/>
      <c r="I96" s="5"/>
      <c r="J96" s="5"/>
      <c r="K96" s="5"/>
    </row>
    <row r="97" spans="1:11" x14ac:dyDescent="0.2">
      <c r="A97" s="30">
        <v>89</v>
      </c>
      <c r="B97" s="40" t="str">
        <f t="shared" si="9"/>
        <v>Research plus</v>
      </c>
      <c r="C97" s="31" t="str">
        <f t="shared" ref="C97:C108" si="10">"100 - 1000µl"</f>
        <v>100 - 1000µl</v>
      </c>
      <c r="D97" s="31" t="str">
        <f>"N14078G"</f>
        <v>N14078G</v>
      </c>
      <c r="E97" s="31" t="str">
        <f t="shared" si="6"/>
        <v>2020-07-31</v>
      </c>
      <c r="F97" s="79"/>
      <c r="G97" s="31"/>
      <c r="H97" s="31"/>
      <c r="I97" s="5"/>
      <c r="J97" s="5"/>
      <c r="K97" s="5"/>
    </row>
    <row r="98" spans="1:11" x14ac:dyDescent="0.2">
      <c r="A98" s="30">
        <v>90</v>
      </c>
      <c r="B98" s="40" t="str">
        <f t="shared" si="9"/>
        <v>Research plus</v>
      </c>
      <c r="C98" s="31" t="str">
        <f t="shared" si="10"/>
        <v>100 - 1000µl</v>
      </c>
      <c r="D98" s="31" t="str">
        <f>"N13954G"</f>
        <v>N13954G</v>
      </c>
      <c r="E98" s="31" t="str">
        <f t="shared" si="6"/>
        <v>2020-07-31</v>
      </c>
      <c r="F98" s="79"/>
      <c r="G98" s="31"/>
      <c r="H98" s="31"/>
      <c r="I98" s="5"/>
      <c r="J98" s="5"/>
      <c r="K98" s="5"/>
    </row>
    <row r="99" spans="1:11" x14ac:dyDescent="0.2">
      <c r="A99" s="30">
        <v>91</v>
      </c>
      <c r="B99" s="40" t="str">
        <f t="shared" si="9"/>
        <v>Research plus</v>
      </c>
      <c r="C99" s="31" t="str">
        <f t="shared" si="10"/>
        <v>100 - 1000µl</v>
      </c>
      <c r="D99" s="31" t="str">
        <f>"N14389G"</f>
        <v>N14389G</v>
      </c>
      <c r="E99" s="31" t="str">
        <f t="shared" si="6"/>
        <v>2020-07-31</v>
      </c>
      <c r="F99" s="79"/>
      <c r="G99" s="31"/>
      <c r="H99" s="31"/>
      <c r="I99" s="5"/>
      <c r="J99" s="5"/>
      <c r="K99" s="5"/>
    </row>
    <row r="100" spans="1:11" x14ac:dyDescent="0.2">
      <c r="A100" s="30">
        <v>92</v>
      </c>
      <c r="B100" s="40" t="str">
        <f t="shared" si="9"/>
        <v>Research plus</v>
      </c>
      <c r="C100" s="31" t="str">
        <f t="shared" si="10"/>
        <v>100 - 1000µl</v>
      </c>
      <c r="D100" s="31" t="str">
        <f>"N13915G"</f>
        <v>N13915G</v>
      </c>
      <c r="E100" s="31" t="str">
        <f t="shared" si="6"/>
        <v>2020-07-31</v>
      </c>
      <c r="F100" s="79"/>
      <c r="G100" s="31"/>
      <c r="H100" s="31"/>
      <c r="I100" s="5"/>
      <c r="J100" s="5"/>
      <c r="K100" s="5"/>
    </row>
    <row r="101" spans="1:11" x14ac:dyDescent="0.2">
      <c r="A101" s="30">
        <v>93</v>
      </c>
      <c r="B101" s="40" t="str">
        <f t="shared" si="9"/>
        <v>Research plus</v>
      </c>
      <c r="C101" s="31" t="str">
        <f t="shared" si="10"/>
        <v>100 - 1000µl</v>
      </c>
      <c r="D101" s="31" t="str">
        <f>"N13917G"</f>
        <v>N13917G</v>
      </c>
      <c r="E101" s="31" t="str">
        <f t="shared" si="6"/>
        <v>2020-07-31</v>
      </c>
      <c r="F101" s="79"/>
      <c r="G101" s="31"/>
      <c r="H101" s="31"/>
      <c r="I101" s="5"/>
      <c r="J101" s="5"/>
      <c r="K101" s="5"/>
    </row>
    <row r="102" spans="1:11" x14ac:dyDescent="0.2">
      <c r="A102" s="30">
        <v>94</v>
      </c>
      <c r="B102" s="40" t="str">
        <f t="shared" si="9"/>
        <v>Research plus</v>
      </c>
      <c r="C102" s="31" t="str">
        <f t="shared" si="10"/>
        <v>100 - 1000µl</v>
      </c>
      <c r="D102" s="31" t="str">
        <f>"N13914G"</f>
        <v>N13914G</v>
      </c>
      <c r="E102" s="31" t="str">
        <f t="shared" si="6"/>
        <v>2020-07-31</v>
      </c>
      <c r="F102" s="79"/>
      <c r="G102" s="31"/>
      <c r="H102" s="31"/>
      <c r="I102" s="5"/>
      <c r="J102" s="5"/>
      <c r="K102" s="5"/>
    </row>
    <row r="103" spans="1:11" x14ac:dyDescent="0.2">
      <c r="A103" s="30">
        <v>95</v>
      </c>
      <c r="B103" s="40" t="str">
        <f t="shared" si="9"/>
        <v>Research plus</v>
      </c>
      <c r="C103" s="31" t="str">
        <f t="shared" si="10"/>
        <v>100 - 1000µl</v>
      </c>
      <c r="D103" s="31" t="str">
        <f>"N14049G"</f>
        <v>N14049G</v>
      </c>
      <c r="E103" s="31" t="str">
        <f t="shared" si="6"/>
        <v>2020-07-31</v>
      </c>
      <c r="F103" s="79"/>
      <c r="G103" s="31"/>
      <c r="H103" s="31"/>
      <c r="I103" s="5"/>
      <c r="J103" s="5"/>
      <c r="K103" s="5"/>
    </row>
    <row r="104" spans="1:11" x14ac:dyDescent="0.2">
      <c r="A104" s="30">
        <v>96</v>
      </c>
      <c r="B104" s="40" t="str">
        <f t="shared" si="9"/>
        <v>Research plus</v>
      </c>
      <c r="C104" s="31" t="str">
        <f t="shared" si="10"/>
        <v>100 - 1000µl</v>
      </c>
      <c r="D104" s="31" t="str">
        <f>"N13911G"</f>
        <v>N13911G</v>
      </c>
      <c r="E104" s="31" t="str">
        <f t="shared" si="6"/>
        <v>2020-07-31</v>
      </c>
      <c r="F104" s="79"/>
      <c r="G104" s="31"/>
      <c r="H104" s="31"/>
      <c r="I104" s="5"/>
      <c r="J104" s="5"/>
      <c r="K104" s="5"/>
    </row>
    <row r="105" spans="1:11" x14ac:dyDescent="0.2">
      <c r="A105" s="30">
        <v>97</v>
      </c>
      <c r="B105" s="40" t="str">
        <f t="shared" si="9"/>
        <v>Research plus</v>
      </c>
      <c r="C105" s="31" t="str">
        <f t="shared" si="10"/>
        <v>100 - 1000µl</v>
      </c>
      <c r="D105" s="31" t="str">
        <f>"N14341G"</f>
        <v>N14341G</v>
      </c>
      <c r="E105" s="31" t="str">
        <f t="shared" si="6"/>
        <v>2020-07-31</v>
      </c>
      <c r="F105" s="79"/>
      <c r="G105" s="31"/>
      <c r="H105" s="31"/>
      <c r="I105" s="5"/>
      <c r="J105" s="5"/>
      <c r="K105" s="5"/>
    </row>
    <row r="106" spans="1:11" x14ac:dyDescent="0.2">
      <c r="A106" s="30">
        <v>98</v>
      </c>
      <c r="B106" s="40" t="str">
        <f t="shared" si="9"/>
        <v>Research plus</v>
      </c>
      <c r="C106" s="31" t="str">
        <f t="shared" si="10"/>
        <v>100 - 1000µl</v>
      </c>
      <c r="D106" s="31" t="str">
        <f>"N13964G"</f>
        <v>N13964G</v>
      </c>
      <c r="E106" s="31" t="str">
        <f t="shared" si="6"/>
        <v>2020-07-31</v>
      </c>
      <c r="F106" s="79"/>
      <c r="G106" s="31"/>
      <c r="H106" s="31"/>
      <c r="I106" s="5"/>
      <c r="J106" s="5"/>
      <c r="K106" s="5"/>
    </row>
    <row r="107" spans="1:11" x14ac:dyDescent="0.2">
      <c r="A107" s="30">
        <v>99</v>
      </c>
      <c r="B107" s="40" t="str">
        <f t="shared" si="9"/>
        <v>Research plus</v>
      </c>
      <c r="C107" s="31" t="str">
        <f t="shared" si="10"/>
        <v>100 - 1000µl</v>
      </c>
      <c r="D107" s="31" t="str">
        <f>"N14387G"</f>
        <v>N14387G</v>
      </c>
      <c r="E107" s="31" t="str">
        <f t="shared" si="6"/>
        <v>2020-07-31</v>
      </c>
      <c r="F107" s="79"/>
      <c r="G107" s="31"/>
      <c r="H107" s="31"/>
      <c r="I107" s="5"/>
      <c r="J107" s="5"/>
      <c r="K107" s="5"/>
    </row>
    <row r="108" spans="1:11" x14ac:dyDescent="0.2">
      <c r="A108" s="30">
        <v>100</v>
      </c>
      <c r="B108" s="40" t="str">
        <f t="shared" si="9"/>
        <v>Research plus</v>
      </c>
      <c r="C108" s="31" t="str">
        <f t="shared" si="10"/>
        <v>100 - 1000µl</v>
      </c>
      <c r="D108" s="31" t="str">
        <f>"N13919G"</f>
        <v>N13919G</v>
      </c>
      <c r="E108" s="31" t="str">
        <f t="shared" si="6"/>
        <v>2020-07-31</v>
      </c>
      <c r="F108" s="79"/>
      <c r="G108" s="31"/>
      <c r="H108" s="31"/>
      <c r="I108" s="5"/>
      <c r="J108" s="5"/>
      <c r="K108" s="5"/>
    </row>
    <row r="109" spans="1:11" x14ac:dyDescent="0.2">
      <c r="A109" s="30">
        <v>101</v>
      </c>
      <c r="B109" s="40" t="str">
        <f t="shared" si="9"/>
        <v>Research plus</v>
      </c>
      <c r="C109" s="31" t="str">
        <f>"500 - 5000µl"</f>
        <v>500 - 5000µl</v>
      </c>
      <c r="D109" s="31" t="str">
        <f>"O49744G"</f>
        <v>O49744G</v>
      </c>
      <c r="E109" s="31" t="str">
        <f t="shared" si="6"/>
        <v>2020-07-31</v>
      </c>
      <c r="F109" s="79"/>
      <c r="G109" s="31"/>
      <c r="H109" s="31"/>
      <c r="I109" s="5"/>
      <c r="J109" s="5"/>
      <c r="K109" s="5"/>
    </row>
    <row r="110" spans="1:11" x14ac:dyDescent="0.2">
      <c r="A110" s="30">
        <v>102</v>
      </c>
      <c r="B110" s="40" t="str">
        <f t="shared" si="9"/>
        <v>Research plus</v>
      </c>
      <c r="C110" s="31" t="str">
        <f>"500 - 5000µl"</f>
        <v>500 - 5000µl</v>
      </c>
      <c r="D110" s="31" t="str">
        <f>"O49742G"</f>
        <v>O49742G</v>
      </c>
      <c r="E110" s="31" t="str">
        <f t="shared" si="6"/>
        <v>2020-07-31</v>
      </c>
      <c r="F110" s="79"/>
      <c r="G110" s="31"/>
      <c r="H110" s="31"/>
      <c r="I110" s="5"/>
      <c r="J110" s="5"/>
      <c r="K110" s="5"/>
    </row>
    <row r="111" spans="1:11" x14ac:dyDescent="0.2">
      <c r="A111" s="30">
        <v>103</v>
      </c>
      <c r="B111" s="40" t="str">
        <f t="shared" si="9"/>
        <v>Research plus</v>
      </c>
      <c r="C111" s="31" t="str">
        <f>"500 - 5000µl"</f>
        <v>500 - 5000µl</v>
      </c>
      <c r="D111" s="31" t="str">
        <f>"O49741G"</f>
        <v>O49741G</v>
      </c>
      <c r="E111" s="31" t="str">
        <f t="shared" si="6"/>
        <v>2020-07-31</v>
      </c>
      <c r="F111" s="79"/>
      <c r="G111" s="31"/>
      <c r="H111" s="31"/>
      <c r="I111" s="5"/>
      <c r="J111" s="5"/>
      <c r="K111" s="5"/>
    </row>
    <row r="112" spans="1:11" x14ac:dyDescent="0.2">
      <c r="A112" s="30">
        <v>104</v>
      </c>
      <c r="B112" s="40" t="str">
        <f t="shared" si="9"/>
        <v>Research plus</v>
      </c>
      <c r="C112" s="31" t="str">
        <f>"500 - 5000µl"</f>
        <v>500 - 5000µl</v>
      </c>
      <c r="D112" s="31" t="str">
        <f>"O49747G"</f>
        <v>O49747G</v>
      </c>
      <c r="E112" s="31" t="str">
        <f t="shared" si="6"/>
        <v>2020-07-31</v>
      </c>
      <c r="F112" s="79"/>
      <c r="G112" s="31"/>
      <c r="H112" s="31"/>
      <c r="I112" s="5"/>
      <c r="J112" s="5"/>
      <c r="K112" s="5"/>
    </row>
    <row r="113" spans="1:11" x14ac:dyDescent="0.2">
      <c r="A113" s="30">
        <v>105</v>
      </c>
      <c r="B113" s="40" t="str">
        <f t="shared" si="9"/>
        <v>Research plus</v>
      </c>
      <c r="C113" s="31" t="str">
        <f>"500 - 5000µl"</f>
        <v>500 - 5000µl</v>
      </c>
      <c r="D113" s="31" t="str">
        <f>"O49746G"</f>
        <v>O49746G</v>
      </c>
      <c r="E113" s="31" t="str">
        <f t="shared" si="6"/>
        <v>2020-07-31</v>
      </c>
      <c r="F113" s="79"/>
      <c r="G113" s="31"/>
      <c r="H113" s="31"/>
      <c r="I113" s="5"/>
      <c r="J113" s="5"/>
      <c r="K113" s="5"/>
    </row>
    <row r="114" spans="1:11" x14ac:dyDescent="0.2">
      <c r="A114" s="30">
        <v>106</v>
      </c>
      <c r="B114" s="40" t="str">
        <f>"Research plus Multi"</f>
        <v>Research plus Multi</v>
      </c>
      <c r="C114" s="31" t="str">
        <f>"10 - 100µl "</f>
        <v xml:space="preserve">10 - 100µl </v>
      </c>
      <c r="D114" s="31" t="str">
        <f>"3813184"</f>
        <v>3813184</v>
      </c>
      <c r="E114" s="31" t="str">
        <f t="shared" si="6"/>
        <v>2020-07-31</v>
      </c>
      <c r="F114" s="79"/>
      <c r="G114" s="31"/>
      <c r="H114" s="31"/>
      <c r="I114" s="5"/>
      <c r="J114" s="5"/>
      <c r="K114" s="5"/>
    </row>
    <row r="115" spans="1:11" x14ac:dyDescent="0.2">
      <c r="A115" s="30">
        <v>107</v>
      </c>
      <c r="B115" s="40" t="str">
        <f>"Research plus Multi"</f>
        <v>Research plus Multi</v>
      </c>
      <c r="C115" s="31" t="str">
        <f>"30 - 300µl "</f>
        <v xml:space="preserve">30 - 300µl </v>
      </c>
      <c r="D115" s="31" t="str">
        <f>"2104905"</f>
        <v>2104905</v>
      </c>
      <c r="E115" s="31" t="str">
        <f t="shared" si="6"/>
        <v>2020-07-31</v>
      </c>
      <c r="F115" s="79"/>
      <c r="G115" s="31"/>
      <c r="H115" s="31"/>
      <c r="I115" s="5"/>
      <c r="J115" s="5"/>
      <c r="K115" s="5"/>
    </row>
    <row r="116" spans="1:11" x14ac:dyDescent="0.2">
      <c r="A116" s="30">
        <v>108</v>
      </c>
      <c r="B116" s="40" t="str">
        <f>"Research plus Multi"</f>
        <v>Research plus Multi</v>
      </c>
      <c r="C116" s="31"/>
      <c r="D116" s="31" t="str">
        <f>"L42976G"</f>
        <v>L42976G</v>
      </c>
      <c r="E116" s="31" t="str">
        <f t="shared" si="6"/>
        <v>2020-07-31</v>
      </c>
      <c r="F116" s="79"/>
      <c r="G116" s="31"/>
      <c r="H116" s="31"/>
      <c r="I116" s="5"/>
      <c r="J116" s="5"/>
      <c r="K116" s="5"/>
    </row>
    <row r="117" spans="1:11" x14ac:dyDescent="0.2">
      <c r="A117" s="30">
        <v>109</v>
      </c>
      <c r="B117" s="40" t="str">
        <f>"Research plus Multi"</f>
        <v>Research plus Multi</v>
      </c>
      <c r="C117" s="31"/>
      <c r="D117" s="31" t="str">
        <f>"N45036G"</f>
        <v>N45036G</v>
      </c>
      <c r="E117" s="31" t="str">
        <f t="shared" si="6"/>
        <v>2020-07-31</v>
      </c>
      <c r="F117" s="79"/>
      <c r="G117" s="31"/>
      <c r="H117" s="31"/>
      <c r="I117" s="5"/>
      <c r="J117" s="5"/>
      <c r="K117" s="5"/>
    </row>
    <row r="118" spans="1:11" x14ac:dyDescent="0.2">
      <c r="A118" s="30">
        <v>110</v>
      </c>
      <c r="B118" s="40" t="str">
        <f>"eLINE"</f>
        <v>eLINE</v>
      </c>
      <c r="C118" s="31"/>
      <c r="D118" s="31" t="str">
        <f>"14009438"</f>
        <v>14009438</v>
      </c>
      <c r="E118" s="31" t="str">
        <f t="shared" si="6"/>
        <v>2020-07-31</v>
      </c>
      <c r="F118" s="79"/>
      <c r="G118" s="31"/>
      <c r="H118" s="31"/>
      <c r="I118" s="5"/>
      <c r="J118" s="5"/>
      <c r="K118" s="5"/>
    </row>
    <row r="119" spans="1:11" x14ac:dyDescent="0.2">
      <c r="A119" s="30">
        <v>111</v>
      </c>
      <c r="B119" s="40" t="s">
        <v>199</v>
      </c>
      <c r="C119" s="31"/>
      <c r="D119" s="31" t="s">
        <v>200</v>
      </c>
      <c r="E119" s="31" t="str">
        <f t="shared" si="6"/>
        <v>2020-07-31</v>
      </c>
      <c r="F119" s="79"/>
      <c r="G119" s="31"/>
      <c r="H119" s="31"/>
      <c r="I119" s="5"/>
      <c r="J119" s="5"/>
      <c r="K119" s="5"/>
    </row>
    <row r="120" spans="1:11" x14ac:dyDescent="0.2">
      <c r="A120" s="30">
        <v>112</v>
      </c>
      <c r="B120" s="40" t="s">
        <v>199</v>
      </c>
      <c r="C120" s="31"/>
      <c r="D120" s="31" t="s">
        <v>201</v>
      </c>
      <c r="E120" s="31" t="str">
        <f t="shared" si="6"/>
        <v>2020-07-31</v>
      </c>
      <c r="F120" s="79"/>
      <c r="G120" s="31"/>
      <c r="H120" s="31"/>
      <c r="I120" s="5"/>
      <c r="J120" s="5"/>
      <c r="K120" s="5"/>
    </row>
    <row r="121" spans="1:11" ht="75.75" customHeight="1" x14ac:dyDescent="0.2">
      <c r="A121" s="33"/>
      <c r="B121" s="140" t="s">
        <v>183</v>
      </c>
      <c r="C121" s="141"/>
      <c r="D121" s="141"/>
      <c r="E121" s="141"/>
      <c r="F121" s="142"/>
      <c r="G121" s="37" t="s">
        <v>524</v>
      </c>
      <c r="H121" s="34"/>
      <c r="I121" s="5"/>
      <c r="J121" s="5"/>
      <c r="K121" s="5"/>
    </row>
    <row r="122" spans="1:11" ht="45" customHeight="1" x14ac:dyDescent="0.2">
      <c r="A122" s="33"/>
      <c r="B122" s="133" t="s">
        <v>316</v>
      </c>
      <c r="C122" s="133"/>
      <c r="D122" s="133"/>
      <c r="E122" s="133"/>
      <c r="F122" s="133"/>
      <c r="G122" s="31" t="s">
        <v>524</v>
      </c>
      <c r="H122" s="34"/>
      <c r="I122" s="5"/>
      <c r="J122" s="5"/>
      <c r="K122" s="5"/>
    </row>
    <row r="123" spans="1:11" ht="43.5" customHeight="1" x14ac:dyDescent="0.2">
      <c r="B123" s="146" t="s">
        <v>181</v>
      </c>
      <c r="C123" s="147"/>
      <c r="D123" s="147"/>
      <c r="E123" s="147"/>
      <c r="F123" s="148"/>
      <c r="G123" s="31" t="s">
        <v>524</v>
      </c>
      <c r="H123" s="5"/>
      <c r="I123" s="5"/>
      <c r="J123" s="5"/>
      <c r="K123" s="5"/>
    </row>
    <row r="124" spans="1:11" x14ac:dyDescent="0.2">
      <c r="B124" s="3"/>
      <c r="C124" s="32"/>
      <c r="D124" s="32"/>
      <c r="E124" s="5"/>
      <c r="F124" s="5"/>
      <c r="G124" s="5"/>
      <c r="H124" s="5"/>
      <c r="I124" s="5"/>
      <c r="J124" s="5"/>
      <c r="K124" s="5"/>
    </row>
    <row r="125" spans="1:11" x14ac:dyDescent="0.2">
      <c r="A125" s="119" t="s">
        <v>356</v>
      </c>
      <c r="B125" s="124"/>
      <c r="C125" s="125">
        <f>SUM(H9:H120)</f>
        <v>0</v>
      </c>
      <c r="D125" s="126"/>
      <c r="E125" s="127"/>
      <c r="F125" s="128" t="s">
        <v>334</v>
      </c>
      <c r="G125" s="129"/>
      <c r="H125" s="120"/>
      <c r="I125" s="130"/>
      <c r="J125" s="131"/>
      <c r="K125" s="132"/>
    </row>
    <row r="126" spans="1:11" x14ac:dyDescent="0.2">
      <c r="A126" s="119" t="s">
        <v>335</v>
      </c>
      <c r="B126" s="120"/>
      <c r="C126" s="121"/>
      <c r="D126" s="122"/>
      <c r="E126" s="122"/>
      <c r="F126" s="122"/>
      <c r="G126" s="122"/>
      <c r="H126" s="122"/>
      <c r="I126" s="122"/>
      <c r="J126" s="122"/>
      <c r="K126" s="123"/>
    </row>
  </sheetData>
  <mergeCells count="12">
    <mergeCell ref="A126:B126"/>
    <mergeCell ref="C126:K126"/>
    <mergeCell ref="B122:F122"/>
    <mergeCell ref="B123:F123"/>
    <mergeCell ref="A125:B125"/>
    <mergeCell ref="C125:E125"/>
    <mergeCell ref="F125:H125"/>
    <mergeCell ref="A4:B4"/>
    <mergeCell ref="C4:K4"/>
    <mergeCell ref="B6:K6"/>
    <mergeCell ref="B121:F121"/>
    <mergeCell ref="I125:K125"/>
  </mergeCells>
  <phoneticPr fontId="10" type="noConversion"/>
  <pageMargins left="0.75" right="0.75" top="1" bottom="1" header="0.5" footer="0.5"/>
  <pageSetup paperSize="9" scale="58" orientation="portrait" r:id="rId1"/>
  <headerFooter alignWithMargins="0"/>
  <legacy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9"/>
  <dimension ref="A2:K15"/>
  <sheetViews>
    <sheetView view="pageLayout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58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460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461</v>
      </c>
      <c r="C9" s="31">
        <v>2500112</v>
      </c>
      <c r="D9" s="31">
        <v>2017</v>
      </c>
      <c r="E9" s="50">
        <v>44181</v>
      </c>
      <c r="F9" s="31"/>
      <c r="G9" s="31"/>
      <c r="H9" s="31"/>
      <c r="I9" s="5"/>
      <c r="J9" s="5"/>
      <c r="K9" s="5"/>
    </row>
    <row r="10" spans="1:11" ht="73.5" customHeight="1" x14ac:dyDescent="0.2">
      <c r="A10" s="33"/>
      <c r="B10" s="110" t="s">
        <v>322</v>
      </c>
      <c r="C10" s="110"/>
      <c r="D10" s="110"/>
      <c r="E10" s="110"/>
      <c r="F10" s="110"/>
      <c r="G10" s="37" t="s">
        <v>524</v>
      </c>
      <c r="H10" s="34"/>
      <c r="I10" s="5"/>
      <c r="J10" s="5"/>
      <c r="K10" s="5"/>
    </row>
    <row r="11" spans="1:11" ht="74.25" customHeight="1" x14ac:dyDescent="0.2">
      <c r="A11" s="33"/>
      <c r="B11" s="110" t="s">
        <v>465</v>
      </c>
      <c r="C11" s="110"/>
      <c r="D11" s="110"/>
      <c r="E11" s="110"/>
      <c r="F11" s="110"/>
      <c r="G11" s="31" t="s">
        <v>524</v>
      </c>
      <c r="H11" s="34"/>
      <c r="I11" s="5"/>
      <c r="J11" s="5"/>
      <c r="K11" s="5"/>
    </row>
    <row r="12" spans="1:11" ht="42" customHeight="1" x14ac:dyDescent="0.2">
      <c r="B12" s="111" t="s">
        <v>630</v>
      </c>
      <c r="C12" s="111"/>
      <c r="D12" s="111"/>
      <c r="E12" s="111"/>
      <c r="F12" s="111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/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0"/>
  <dimension ref="A2:K15"/>
  <sheetViews>
    <sheetView view="pageLayout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59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462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463</v>
      </c>
      <c r="C9" s="31" t="s">
        <v>464</v>
      </c>
      <c r="D9" s="31">
        <v>2017</v>
      </c>
      <c r="E9" s="50">
        <v>44118</v>
      </c>
      <c r="F9" s="31"/>
      <c r="G9" s="31"/>
      <c r="H9" s="31"/>
      <c r="I9" s="5"/>
      <c r="J9" s="5"/>
      <c r="K9" s="5"/>
    </row>
    <row r="10" spans="1:11" ht="109.5" customHeight="1" x14ac:dyDescent="0.2">
      <c r="A10" s="33"/>
      <c r="B10" s="133" t="s">
        <v>587</v>
      </c>
      <c r="C10" s="133"/>
      <c r="D10" s="133"/>
      <c r="E10" s="133"/>
      <c r="F10" s="133"/>
      <c r="G10" s="37" t="s">
        <v>524</v>
      </c>
      <c r="H10" s="34"/>
      <c r="I10" s="5"/>
      <c r="J10" s="5"/>
      <c r="K10" s="5"/>
    </row>
    <row r="11" spans="1:11" ht="57.75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2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/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1"/>
  <dimension ref="A2:K15"/>
  <sheetViews>
    <sheetView view="pageLayout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60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466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467</v>
      </c>
      <c r="C9" s="31">
        <v>261</v>
      </c>
      <c r="D9" s="31">
        <v>2017</v>
      </c>
      <c r="E9" s="50">
        <v>44259</v>
      </c>
      <c r="F9" s="31"/>
      <c r="G9" s="31"/>
      <c r="H9" s="31"/>
      <c r="I9" s="5"/>
      <c r="J9" s="5"/>
      <c r="K9" s="5"/>
    </row>
    <row r="10" spans="1:11" ht="111" customHeight="1" x14ac:dyDescent="0.2">
      <c r="A10" s="33"/>
      <c r="B10" s="133" t="s">
        <v>587</v>
      </c>
      <c r="C10" s="133"/>
      <c r="D10" s="133"/>
      <c r="E10" s="133"/>
      <c r="F10" s="133"/>
      <c r="G10" s="37" t="s">
        <v>524</v>
      </c>
      <c r="H10" s="34"/>
      <c r="I10" s="5"/>
      <c r="J10" s="5"/>
      <c r="K10" s="5"/>
    </row>
    <row r="11" spans="1:11" ht="55.5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2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/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2"/>
  <dimension ref="A2:K15"/>
  <sheetViews>
    <sheetView tabSelected="1" view="pageLayout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61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468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469</v>
      </c>
      <c r="C9" s="31" t="s">
        <v>470</v>
      </c>
      <c r="D9" s="31">
        <v>2017</v>
      </c>
      <c r="E9" s="50">
        <v>44196</v>
      </c>
      <c r="F9" s="31"/>
      <c r="G9" s="31"/>
      <c r="H9" s="31"/>
      <c r="I9" s="5"/>
      <c r="J9" s="5"/>
      <c r="K9" s="5"/>
    </row>
    <row r="10" spans="1:11" ht="108.75" customHeight="1" x14ac:dyDescent="0.2">
      <c r="A10" s="33"/>
      <c r="B10" s="133" t="s">
        <v>587</v>
      </c>
      <c r="C10" s="133"/>
      <c r="D10" s="133"/>
      <c r="E10" s="133"/>
      <c r="F10" s="133"/>
      <c r="G10" s="37" t="s">
        <v>524</v>
      </c>
      <c r="H10" s="34"/>
      <c r="I10" s="5"/>
      <c r="J10" s="5"/>
      <c r="K10" s="5"/>
    </row>
    <row r="11" spans="1:11" ht="60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2" customHeight="1" x14ac:dyDescent="0.2">
      <c r="B12" s="110" t="s">
        <v>91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3"/>
  <dimension ref="A2:K15"/>
  <sheetViews>
    <sheetView view="pageLayout" topLeftCell="A37" zoomScaleNormal="100" zoomScaleSheetLayoutView="100" workbookViewId="0">
      <selection activeCell="B12" sqref="B12:F12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62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471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472</v>
      </c>
      <c r="C9" s="31" t="s">
        <v>473</v>
      </c>
      <c r="D9" s="31">
        <v>2017</v>
      </c>
      <c r="E9" s="50">
        <v>44263</v>
      </c>
      <c r="F9" s="31"/>
      <c r="G9" s="31"/>
      <c r="H9" s="31"/>
      <c r="I9" s="5"/>
      <c r="J9" s="5"/>
      <c r="K9" s="5"/>
    </row>
    <row r="10" spans="1:11" ht="108.75" customHeight="1" x14ac:dyDescent="0.2">
      <c r="A10" s="33"/>
      <c r="B10" s="133" t="s">
        <v>587</v>
      </c>
      <c r="C10" s="133"/>
      <c r="D10" s="133"/>
      <c r="E10" s="133"/>
      <c r="F10" s="133"/>
      <c r="G10" s="37" t="s">
        <v>524</v>
      </c>
      <c r="H10" s="34"/>
      <c r="I10" s="5"/>
      <c r="J10" s="5"/>
      <c r="K10" s="5"/>
    </row>
    <row r="11" spans="1:11" ht="60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5.75" customHeight="1" x14ac:dyDescent="0.2">
      <c r="B12" s="110" t="s">
        <v>320</v>
      </c>
      <c r="C12" s="110"/>
      <c r="D12" s="110"/>
      <c r="E12" s="110"/>
      <c r="F12" s="110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4"/>
  <dimension ref="A2:K15"/>
  <sheetViews>
    <sheetView view="pageLayout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63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475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51" t="s">
        <v>476</v>
      </c>
      <c r="C9" s="31">
        <v>1167</v>
      </c>
      <c r="D9" s="31">
        <v>2014</v>
      </c>
      <c r="E9" s="50">
        <v>44123</v>
      </c>
      <c r="F9" s="31"/>
      <c r="G9" s="31"/>
      <c r="H9" s="31"/>
      <c r="I9" s="5"/>
      <c r="J9" s="5"/>
      <c r="K9" s="5"/>
    </row>
    <row r="10" spans="1:11" ht="108.75" customHeight="1" x14ac:dyDescent="0.2">
      <c r="A10" s="33"/>
      <c r="B10" s="133" t="s">
        <v>477</v>
      </c>
      <c r="C10" s="133"/>
      <c r="D10" s="133"/>
      <c r="E10" s="133"/>
      <c r="F10" s="133"/>
      <c r="G10" s="37" t="s">
        <v>524</v>
      </c>
      <c r="H10" s="34"/>
      <c r="I10" s="5"/>
      <c r="J10" s="5"/>
      <c r="K10" s="5"/>
    </row>
    <row r="11" spans="1:11" ht="47.25" customHeight="1" x14ac:dyDescent="0.2">
      <c r="A11" s="33"/>
      <c r="B11" s="133" t="s">
        <v>478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2" customHeight="1" x14ac:dyDescent="0.2">
      <c r="B12" s="111" t="s">
        <v>479</v>
      </c>
      <c r="C12" s="111"/>
      <c r="D12" s="111"/>
      <c r="E12" s="111"/>
      <c r="F12" s="111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5"/>
  <dimension ref="A2:K19"/>
  <sheetViews>
    <sheetView view="pageLayout" zoomScaleNormal="100" zoomScaleSheetLayoutView="100" workbookViewId="0">
      <selection activeCell="B16" sqref="B16:F16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64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480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69" t="s">
        <v>481</v>
      </c>
      <c r="C9" s="69" t="s">
        <v>482</v>
      </c>
      <c r="D9" s="69">
        <v>2014</v>
      </c>
      <c r="E9" s="89">
        <v>44256</v>
      </c>
      <c r="F9" s="31"/>
      <c r="G9" s="31"/>
      <c r="H9" s="31"/>
      <c r="I9" s="5"/>
      <c r="J9" s="5"/>
      <c r="K9" s="5"/>
    </row>
    <row r="10" spans="1:11" x14ac:dyDescent="0.2">
      <c r="A10" s="30">
        <v>2</v>
      </c>
      <c r="B10" s="69" t="s">
        <v>481</v>
      </c>
      <c r="C10" s="69" t="s">
        <v>483</v>
      </c>
      <c r="D10" s="69">
        <v>2014</v>
      </c>
      <c r="E10" s="89">
        <v>44256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69" t="s">
        <v>481</v>
      </c>
      <c r="C11" s="69" t="s">
        <v>484</v>
      </c>
      <c r="D11" s="69">
        <v>2014</v>
      </c>
      <c r="E11" s="89">
        <v>44256</v>
      </c>
      <c r="F11" s="31"/>
      <c r="G11" s="31"/>
      <c r="H11" s="31"/>
      <c r="I11" s="5"/>
      <c r="J11" s="5"/>
      <c r="K11" s="5"/>
    </row>
    <row r="12" spans="1:11" x14ac:dyDescent="0.2">
      <c r="A12" s="30">
        <v>4</v>
      </c>
      <c r="B12" s="69" t="s">
        <v>481</v>
      </c>
      <c r="C12" s="69" t="s">
        <v>485</v>
      </c>
      <c r="D12" s="69">
        <v>2014</v>
      </c>
      <c r="E12" s="89">
        <v>44256</v>
      </c>
      <c r="F12" s="31"/>
      <c r="G12" s="31"/>
      <c r="H12" s="31"/>
      <c r="I12" s="5"/>
      <c r="J12" s="5"/>
      <c r="K12" s="5"/>
    </row>
    <row r="13" spans="1:11" x14ac:dyDescent="0.2">
      <c r="A13" s="30">
        <v>5</v>
      </c>
      <c r="B13" s="69" t="s">
        <v>481</v>
      </c>
      <c r="C13" s="69" t="s">
        <v>486</v>
      </c>
      <c r="D13" s="69">
        <v>2014</v>
      </c>
      <c r="E13" s="89">
        <v>44256</v>
      </c>
      <c r="F13" s="31"/>
      <c r="G13" s="31"/>
      <c r="H13" s="31"/>
      <c r="I13" s="5"/>
      <c r="J13" s="5"/>
      <c r="K13" s="5"/>
    </row>
    <row r="14" spans="1:11" ht="124.5" customHeight="1" x14ac:dyDescent="0.2">
      <c r="A14" s="33"/>
      <c r="B14" s="110" t="s">
        <v>504</v>
      </c>
      <c r="C14" s="110"/>
      <c r="D14" s="110"/>
      <c r="E14" s="110"/>
      <c r="F14" s="110"/>
      <c r="G14" s="37" t="s">
        <v>524</v>
      </c>
      <c r="H14" s="34"/>
      <c r="I14" s="5"/>
      <c r="J14" s="5"/>
      <c r="K14" s="5"/>
    </row>
    <row r="15" spans="1:11" ht="47.25" customHeight="1" x14ac:dyDescent="0.2">
      <c r="A15" s="33"/>
      <c r="B15" s="110" t="s">
        <v>280</v>
      </c>
      <c r="C15" s="110"/>
      <c r="D15" s="110"/>
      <c r="E15" s="110"/>
      <c r="F15" s="110"/>
      <c r="G15" s="31" t="s">
        <v>524</v>
      </c>
      <c r="H15" s="34"/>
      <c r="I15" s="5"/>
      <c r="J15" s="5"/>
      <c r="K15" s="5"/>
    </row>
    <row r="16" spans="1:11" ht="47.25" customHeight="1" x14ac:dyDescent="0.2">
      <c r="B16" s="110" t="s">
        <v>487</v>
      </c>
      <c r="C16" s="110"/>
      <c r="D16" s="110"/>
      <c r="E16" s="110"/>
      <c r="F16" s="110"/>
      <c r="G16" s="31" t="s">
        <v>524</v>
      </c>
      <c r="H16" s="5"/>
      <c r="I16" s="5"/>
      <c r="J16" s="5"/>
      <c r="K16" s="5"/>
    </row>
    <row r="17" spans="1:11" x14ac:dyDescent="0.2">
      <c r="B17" s="3"/>
      <c r="C17" s="32"/>
      <c r="D17" s="5"/>
      <c r="E17" s="5"/>
      <c r="F17" s="5"/>
      <c r="G17" s="5"/>
      <c r="H17" s="5"/>
      <c r="I17" s="5"/>
      <c r="J17" s="5"/>
      <c r="K17" s="5"/>
    </row>
    <row r="18" spans="1:11" x14ac:dyDescent="0.2">
      <c r="A18" s="119" t="s">
        <v>356</v>
      </c>
      <c r="B18" s="124"/>
      <c r="C18" s="125">
        <f>SUM(H9:H13)</f>
        <v>0</v>
      </c>
      <c r="D18" s="126"/>
      <c r="E18" s="127"/>
      <c r="F18" s="128" t="s">
        <v>334</v>
      </c>
      <c r="G18" s="129"/>
      <c r="H18" s="120"/>
      <c r="I18" s="130"/>
      <c r="J18" s="131"/>
      <c r="K18" s="132"/>
    </row>
    <row r="19" spans="1:11" x14ac:dyDescent="0.2">
      <c r="A19" s="119" t="s">
        <v>335</v>
      </c>
      <c r="B19" s="120"/>
      <c r="C19" s="121"/>
      <c r="D19" s="122"/>
      <c r="E19" s="122"/>
      <c r="F19" s="122"/>
      <c r="G19" s="122"/>
      <c r="H19" s="122"/>
      <c r="I19" s="122"/>
      <c r="J19" s="122"/>
      <c r="K19" s="123"/>
    </row>
  </sheetData>
  <mergeCells count="12">
    <mergeCell ref="A19:B19"/>
    <mergeCell ref="C19:K19"/>
    <mergeCell ref="B15:F15"/>
    <mergeCell ref="B16:F16"/>
    <mergeCell ref="A18:B18"/>
    <mergeCell ref="C18:E18"/>
    <mergeCell ref="F18:H18"/>
    <mergeCell ref="A4:B4"/>
    <mergeCell ref="C4:K4"/>
    <mergeCell ref="B6:K6"/>
    <mergeCell ref="B14:F14"/>
    <mergeCell ref="I18:K18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6"/>
  <dimension ref="A2:K15"/>
  <sheetViews>
    <sheetView view="pageLayout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65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505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x14ac:dyDescent="0.2">
      <c r="A9" s="30">
        <v>1</v>
      </c>
      <c r="B9" s="69" t="s">
        <v>506</v>
      </c>
      <c r="C9" s="69">
        <v>100299892</v>
      </c>
      <c r="D9" s="69">
        <v>2006</v>
      </c>
      <c r="E9" s="70">
        <v>44206</v>
      </c>
      <c r="F9" s="31"/>
      <c r="G9" s="31"/>
      <c r="H9" s="31"/>
      <c r="I9" s="5"/>
      <c r="J9" s="5"/>
      <c r="K9" s="5"/>
    </row>
    <row r="10" spans="1:11" ht="124.5" customHeight="1" x14ac:dyDescent="0.2">
      <c r="A10" s="33"/>
      <c r="B10" s="110" t="s">
        <v>288</v>
      </c>
      <c r="C10" s="110"/>
      <c r="D10" s="110"/>
      <c r="E10" s="110"/>
      <c r="F10" s="110"/>
      <c r="G10" s="37" t="s">
        <v>524</v>
      </c>
      <c r="H10" s="34"/>
      <c r="I10" s="5"/>
      <c r="J10" s="5"/>
      <c r="K10" s="5"/>
    </row>
    <row r="11" spans="1:11" ht="57.75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7.25" customHeight="1" x14ac:dyDescent="0.2">
      <c r="B12" s="135" t="s">
        <v>287</v>
      </c>
      <c r="C12" s="135"/>
      <c r="D12" s="135"/>
      <c r="E12" s="135"/>
      <c r="F12" s="135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8"/>
  <dimension ref="A2:K17"/>
  <sheetViews>
    <sheetView view="pageLayout" topLeftCell="A7" zoomScaleNormal="100" zoomScaleSheetLayoutView="100" workbookViewId="0">
      <selection activeCell="H9" sqref="H9:H11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66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507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ht="25.5" x14ac:dyDescent="0.2">
      <c r="A9" s="36">
        <v>1</v>
      </c>
      <c r="B9" s="72" t="s">
        <v>508</v>
      </c>
      <c r="C9" s="71" t="s">
        <v>510</v>
      </c>
      <c r="D9" s="31">
        <v>2011</v>
      </c>
      <c r="E9" s="73">
        <v>44196</v>
      </c>
      <c r="F9" s="31"/>
      <c r="G9" s="31"/>
      <c r="H9" s="31"/>
      <c r="I9" s="5"/>
      <c r="J9" s="5"/>
      <c r="K9" s="5"/>
    </row>
    <row r="10" spans="1:11" s="14" customFormat="1" x14ac:dyDescent="0.2">
      <c r="A10" s="36">
        <v>2</v>
      </c>
      <c r="B10" s="72" t="s">
        <v>511</v>
      </c>
      <c r="C10" s="71" t="s">
        <v>512</v>
      </c>
      <c r="D10" s="31">
        <v>2005</v>
      </c>
      <c r="E10" s="73">
        <v>44051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69" t="s">
        <v>509</v>
      </c>
      <c r="C11" s="69">
        <v>6010060</v>
      </c>
      <c r="D11" s="74">
        <v>2006</v>
      </c>
      <c r="E11" s="70">
        <v>44196</v>
      </c>
      <c r="F11" s="31"/>
      <c r="G11" s="31"/>
      <c r="H11" s="31"/>
      <c r="I11" s="5"/>
      <c r="J11" s="5"/>
      <c r="K11" s="5"/>
    </row>
    <row r="12" spans="1:11" ht="126" customHeight="1" x14ac:dyDescent="0.2">
      <c r="A12" s="33"/>
      <c r="B12" s="110" t="s">
        <v>288</v>
      </c>
      <c r="C12" s="110"/>
      <c r="D12" s="110"/>
      <c r="E12" s="110"/>
      <c r="F12" s="110"/>
      <c r="G12" s="37" t="s">
        <v>524</v>
      </c>
      <c r="H12" s="34"/>
      <c r="I12" s="5"/>
      <c r="J12" s="5"/>
      <c r="K12" s="5"/>
    </row>
    <row r="13" spans="1:11" ht="57.75" customHeight="1" x14ac:dyDescent="0.2">
      <c r="A13" s="33"/>
      <c r="B13" s="110" t="s">
        <v>594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</row>
    <row r="14" spans="1:11" ht="47.25" customHeight="1" x14ac:dyDescent="0.2">
      <c r="B14" s="135" t="s">
        <v>513</v>
      </c>
      <c r="C14" s="135"/>
      <c r="D14" s="135"/>
      <c r="E14" s="135"/>
      <c r="F14" s="135"/>
      <c r="G14" s="31" t="s">
        <v>524</v>
      </c>
      <c r="H14" s="5"/>
      <c r="I14" s="5"/>
      <c r="J14" s="5"/>
      <c r="K14" s="5"/>
    </row>
    <row r="15" spans="1:11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</row>
    <row r="16" spans="1:11" x14ac:dyDescent="0.2">
      <c r="A16" s="119" t="s">
        <v>356</v>
      </c>
      <c r="B16" s="124"/>
      <c r="C16" s="125">
        <f>SUM(H9:H11)</f>
        <v>0</v>
      </c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1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</sheetData>
  <mergeCells count="12">
    <mergeCell ref="A17:B17"/>
    <mergeCell ref="C17:K17"/>
    <mergeCell ref="B13:F13"/>
    <mergeCell ref="B14:F14"/>
    <mergeCell ref="A16:B16"/>
    <mergeCell ref="C16:E16"/>
    <mergeCell ref="F16:H16"/>
    <mergeCell ref="A4:B4"/>
    <mergeCell ref="C4:K4"/>
    <mergeCell ref="B6:K6"/>
    <mergeCell ref="B12:F12"/>
    <mergeCell ref="I16:K16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9"/>
  <dimension ref="A2:K16"/>
  <sheetViews>
    <sheetView view="pageBreakPreview" zoomScaleNormal="100" workbookViewId="0">
      <selection activeCell="H11" sqref="H11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67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195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72" t="s">
        <v>193</v>
      </c>
      <c r="C9" s="75" t="s">
        <v>194</v>
      </c>
      <c r="D9" s="31">
        <v>2017</v>
      </c>
      <c r="E9" s="73">
        <v>44012</v>
      </c>
      <c r="F9" s="31"/>
      <c r="G9" s="31"/>
      <c r="H9" s="83"/>
      <c r="I9" s="5"/>
      <c r="J9" s="5"/>
      <c r="K9" s="5"/>
    </row>
    <row r="10" spans="1:11" x14ac:dyDescent="0.2">
      <c r="A10" s="30">
        <v>2</v>
      </c>
      <c r="B10" s="69" t="s">
        <v>196</v>
      </c>
      <c r="C10" s="76" t="s">
        <v>197</v>
      </c>
      <c r="D10" s="31">
        <v>2017</v>
      </c>
      <c r="E10" s="73">
        <v>44012</v>
      </c>
      <c r="F10" s="31"/>
      <c r="G10" s="31"/>
      <c r="H10" s="31"/>
      <c r="I10" s="5"/>
      <c r="J10" s="5"/>
      <c r="K10" s="5"/>
    </row>
    <row r="11" spans="1:11" ht="106.5" customHeight="1" x14ac:dyDescent="0.2">
      <c r="A11" s="33"/>
      <c r="B11" s="133" t="s">
        <v>665</v>
      </c>
      <c r="C11" s="133"/>
      <c r="D11" s="133"/>
      <c r="E11" s="133"/>
      <c r="F11" s="133"/>
      <c r="G11" s="37" t="s">
        <v>524</v>
      </c>
      <c r="H11" s="34"/>
      <c r="I11" s="5"/>
      <c r="J11" s="5"/>
      <c r="K11" s="5"/>
    </row>
    <row r="12" spans="1:11" ht="54.75" customHeight="1" x14ac:dyDescent="0.2">
      <c r="A12" s="33"/>
      <c r="B12" s="110" t="s">
        <v>594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</row>
    <row r="13" spans="1:11" ht="47.25" customHeight="1" x14ac:dyDescent="0.2">
      <c r="B13" s="135" t="s">
        <v>198</v>
      </c>
      <c r="C13" s="135"/>
      <c r="D13" s="135"/>
      <c r="E13" s="135"/>
      <c r="F13" s="135"/>
      <c r="G13" s="31" t="s">
        <v>524</v>
      </c>
      <c r="H13" s="5"/>
      <c r="I13" s="5"/>
      <c r="J13" s="5"/>
      <c r="K13" s="5"/>
    </row>
    <row r="14" spans="1:11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1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16:B16"/>
    <mergeCell ref="C16:K16"/>
    <mergeCell ref="B12:F12"/>
    <mergeCell ref="B13:F13"/>
    <mergeCell ref="A15:B15"/>
    <mergeCell ref="C15:E15"/>
    <mergeCell ref="F15:H15"/>
    <mergeCell ref="A4:B4"/>
    <mergeCell ref="C4:K4"/>
    <mergeCell ref="B6:K6"/>
    <mergeCell ref="B11:F11"/>
    <mergeCell ref="I15:K15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0"/>
  <dimension ref="A2:K15"/>
  <sheetViews>
    <sheetView view="pageLayout" topLeftCell="A13" zoomScaleNormal="100" zoomScaleSheetLayoutView="100" workbookViewId="0">
      <selection activeCell="H12" sqref="H12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68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297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30" t="s">
        <v>308</v>
      </c>
      <c r="C9" s="77" t="s">
        <v>300</v>
      </c>
      <c r="D9" s="31">
        <v>2017</v>
      </c>
      <c r="E9" s="78">
        <v>44012</v>
      </c>
      <c r="F9" s="31"/>
      <c r="G9" s="31"/>
      <c r="H9" s="31"/>
      <c r="I9" s="5"/>
      <c r="J9" s="5"/>
      <c r="K9" s="5"/>
    </row>
    <row r="10" spans="1:11" ht="107.25" customHeight="1" x14ac:dyDescent="0.2">
      <c r="A10" s="33"/>
      <c r="B10" s="133" t="s">
        <v>565</v>
      </c>
      <c r="C10" s="133"/>
      <c r="D10" s="133"/>
      <c r="E10" s="133"/>
      <c r="F10" s="133"/>
      <c r="G10" s="37" t="s">
        <v>524</v>
      </c>
      <c r="H10" s="34"/>
      <c r="I10" s="5"/>
      <c r="J10" s="5"/>
      <c r="K10" s="5"/>
    </row>
    <row r="11" spans="1:11" ht="57.75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7.25" customHeight="1" x14ac:dyDescent="0.2">
      <c r="B12" s="135" t="s">
        <v>198</v>
      </c>
      <c r="C12" s="135"/>
      <c r="D12" s="135"/>
      <c r="E12" s="135"/>
      <c r="F12" s="135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1"/>
  <dimension ref="A2:K18"/>
  <sheetViews>
    <sheetView view="pageLayout" topLeftCell="A7" zoomScaleNormal="100" zoomScaleSheetLayoutView="100" workbookViewId="0">
      <selection activeCell="H9" sqref="H9:H12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69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310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36" t="s">
        <v>311</v>
      </c>
      <c r="C9" s="77">
        <v>50984</v>
      </c>
      <c r="D9" s="31">
        <v>2008</v>
      </c>
      <c r="E9" s="78">
        <v>44091</v>
      </c>
      <c r="F9" s="31"/>
      <c r="G9" s="31"/>
      <c r="H9" s="31"/>
      <c r="I9" s="5"/>
      <c r="J9" s="5"/>
      <c r="K9" s="5"/>
    </row>
    <row r="10" spans="1:11" s="14" customFormat="1" x14ac:dyDescent="0.2">
      <c r="A10" s="36">
        <v>2</v>
      </c>
      <c r="B10" s="30" t="s">
        <v>303</v>
      </c>
      <c r="C10" s="38" t="s">
        <v>304</v>
      </c>
      <c r="D10" s="31">
        <v>2017</v>
      </c>
      <c r="E10" s="80">
        <v>44170</v>
      </c>
      <c r="F10" s="31"/>
      <c r="G10" s="31"/>
      <c r="H10" s="31"/>
      <c r="I10" s="5"/>
      <c r="J10" s="5"/>
      <c r="K10" s="5"/>
    </row>
    <row r="11" spans="1:11" s="14" customFormat="1" x14ac:dyDescent="0.2">
      <c r="A11" s="36">
        <v>3</v>
      </c>
      <c r="B11" s="30" t="s">
        <v>305</v>
      </c>
      <c r="C11" s="38" t="s">
        <v>306</v>
      </c>
      <c r="D11" s="31">
        <v>2017</v>
      </c>
      <c r="E11" s="78">
        <v>44027</v>
      </c>
      <c r="F11" s="31"/>
      <c r="G11" s="31"/>
      <c r="H11" s="31"/>
      <c r="I11" s="5"/>
      <c r="J11" s="5"/>
      <c r="K11" s="5"/>
    </row>
    <row r="12" spans="1:11" x14ac:dyDescent="0.2">
      <c r="A12" s="36">
        <v>4</v>
      </c>
      <c r="B12" s="30" t="s">
        <v>305</v>
      </c>
      <c r="C12" s="38" t="s">
        <v>307</v>
      </c>
      <c r="D12" s="31">
        <v>2017</v>
      </c>
      <c r="E12" s="78">
        <v>44027</v>
      </c>
      <c r="F12" s="31"/>
      <c r="G12" s="31"/>
      <c r="H12" s="31"/>
      <c r="I12" s="5"/>
      <c r="J12" s="5"/>
      <c r="K12" s="5"/>
    </row>
    <row r="13" spans="1:11" ht="105.75" customHeight="1" x14ac:dyDescent="0.2">
      <c r="A13" s="33"/>
      <c r="B13" s="133" t="s">
        <v>665</v>
      </c>
      <c r="C13" s="133"/>
      <c r="D13" s="133"/>
      <c r="E13" s="133"/>
      <c r="F13" s="133"/>
      <c r="G13" s="37" t="s">
        <v>524</v>
      </c>
      <c r="H13" s="34"/>
      <c r="I13" s="5"/>
      <c r="J13" s="5"/>
      <c r="K13" s="5"/>
    </row>
    <row r="14" spans="1:11" ht="57.75" customHeight="1" x14ac:dyDescent="0.2">
      <c r="A14" s="33"/>
      <c r="B14" s="133" t="s">
        <v>620</v>
      </c>
      <c r="C14" s="133"/>
      <c r="D14" s="133"/>
      <c r="E14" s="133"/>
      <c r="F14" s="133"/>
      <c r="G14" s="31" t="s">
        <v>524</v>
      </c>
      <c r="H14" s="34"/>
      <c r="I14" s="5"/>
      <c r="J14" s="5"/>
      <c r="K14" s="5"/>
    </row>
    <row r="15" spans="1:11" ht="54" customHeight="1" x14ac:dyDescent="0.2">
      <c r="B15" s="135" t="s">
        <v>312</v>
      </c>
      <c r="C15" s="135"/>
      <c r="D15" s="135"/>
      <c r="E15" s="135"/>
      <c r="F15" s="135"/>
      <c r="G15" s="31" t="s">
        <v>524</v>
      </c>
      <c r="H15" s="5"/>
      <c r="I15" s="5"/>
      <c r="J15" s="5"/>
      <c r="K15" s="5"/>
    </row>
    <row r="16" spans="1:11" x14ac:dyDescent="0.2">
      <c r="B16" s="3"/>
      <c r="C16" s="32"/>
      <c r="D16" s="5"/>
      <c r="E16" s="5"/>
      <c r="F16" s="5"/>
      <c r="G16" s="5"/>
      <c r="H16" s="5"/>
      <c r="I16" s="5"/>
      <c r="J16" s="5"/>
      <c r="K16" s="5"/>
    </row>
    <row r="17" spans="1:11" x14ac:dyDescent="0.2">
      <c r="A17" s="119" t="s">
        <v>356</v>
      </c>
      <c r="B17" s="124"/>
      <c r="C17" s="125">
        <f>SUM(H9:H12)</f>
        <v>0</v>
      </c>
      <c r="D17" s="126"/>
      <c r="E17" s="127"/>
      <c r="F17" s="128" t="s">
        <v>334</v>
      </c>
      <c r="G17" s="129"/>
      <c r="H17" s="120"/>
      <c r="I17" s="130"/>
      <c r="J17" s="131"/>
      <c r="K17" s="132"/>
    </row>
    <row r="18" spans="1:11" x14ac:dyDescent="0.2">
      <c r="A18" s="119" t="s">
        <v>335</v>
      </c>
      <c r="B18" s="120"/>
      <c r="C18" s="121"/>
      <c r="D18" s="122"/>
      <c r="E18" s="122"/>
      <c r="F18" s="122"/>
      <c r="G18" s="122"/>
      <c r="H18" s="122"/>
      <c r="I18" s="122"/>
      <c r="J18" s="122"/>
      <c r="K18" s="123"/>
    </row>
  </sheetData>
  <mergeCells count="12">
    <mergeCell ref="A18:B18"/>
    <mergeCell ref="C18:K18"/>
    <mergeCell ref="B14:F14"/>
    <mergeCell ref="B15:F15"/>
    <mergeCell ref="A17:B17"/>
    <mergeCell ref="C17:E17"/>
    <mergeCell ref="F17:H17"/>
    <mergeCell ref="A4:B4"/>
    <mergeCell ref="C4:K4"/>
    <mergeCell ref="B6:K6"/>
    <mergeCell ref="B13:F13"/>
    <mergeCell ref="I17:K17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2"/>
  <dimension ref="A2:K16"/>
  <sheetViews>
    <sheetView view="pageLayout" topLeftCell="A7" zoomScaleNormal="100" zoomScaleSheetLayoutView="100" workbookViewId="0">
      <selection activeCell="H9" sqref="H9:H10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70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314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30" t="s">
        <v>298</v>
      </c>
      <c r="C9" s="77">
        <v>3205</v>
      </c>
      <c r="D9" s="31">
        <v>2017</v>
      </c>
      <c r="E9" s="78">
        <v>44169</v>
      </c>
      <c r="F9" s="31"/>
      <c r="G9" s="31"/>
      <c r="H9" s="31"/>
      <c r="I9" s="5"/>
      <c r="J9" s="5"/>
      <c r="K9" s="5"/>
    </row>
    <row r="10" spans="1:11" s="14" customFormat="1" x14ac:dyDescent="0.2">
      <c r="A10" s="36">
        <v>2</v>
      </c>
      <c r="B10" s="30" t="s">
        <v>299</v>
      </c>
      <c r="C10" s="38" t="s">
        <v>302</v>
      </c>
      <c r="D10" s="31">
        <v>2017</v>
      </c>
      <c r="E10" s="78">
        <v>44169</v>
      </c>
      <c r="F10" s="31"/>
      <c r="G10" s="31"/>
      <c r="H10" s="31"/>
      <c r="I10" s="5"/>
      <c r="J10" s="5"/>
      <c r="K10" s="5"/>
    </row>
    <row r="11" spans="1:11" ht="105.75" customHeight="1" x14ac:dyDescent="0.2">
      <c r="A11" s="33"/>
      <c r="B11" s="133" t="s">
        <v>665</v>
      </c>
      <c r="C11" s="133"/>
      <c r="D11" s="133"/>
      <c r="E11" s="133"/>
      <c r="F11" s="133"/>
      <c r="G11" s="37" t="s">
        <v>524</v>
      </c>
      <c r="H11" s="34"/>
      <c r="I11" s="5"/>
      <c r="J11" s="5"/>
      <c r="K11" s="5"/>
    </row>
    <row r="12" spans="1:11" ht="57.75" customHeight="1" x14ac:dyDescent="0.2">
      <c r="A12" s="33"/>
      <c r="B12" s="133" t="s">
        <v>620</v>
      </c>
      <c r="C12" s="133"/>
      <c r="D12" s="133"/>
      <c r="E12" s="133"/>
      <c r="F12" s="133"/>
      <c r="G12" s="31" t="s">
        <v>524</v>
      </c>
      <c r="H12" s="34"/>
      <c r="I12" s="5"/>
      <c r="J12" s="5"/>
      <c r="K12" s="5"/>
    </row>
    <row r="13" spans="1:11" ht="47.25" customHeight="1" x14ac:dyDescent="0.2">
      <c r="B13" s="135" t="s">
        <v>313</v>
      </c>
      <c r="C13" s="135"/>
      <c r="D13" s="135"/>
      <c r="E13" s="135"/>
      <c r="F13" s="135"/>
      <c r="G13" s="31" t="s">
        <v>524</v>
      </c>
      <c r="H13" s="5"/>
      <c r="I13" s="5"/>
      <c r="J13" s="5"/>
      <c r="K13" s="5"/>
    </row>
    <row r="14" spans="1:11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1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16:B16"/>
    <mergeCell ref="C16:K16"/>
    <mergeCell ref="B12:F12"/>
    <mergeCell ref="B13:F13"/>
    <mergeCell ref="A15:B15"/>
    <mergeCell ref="C15:E15"/>
    <mergeCell ref="F15:H15"/>
    <mergeCell ref="A4:B4"/>
    <mergeCell ref="C4:K4"/>
    <mergeCell ref="B6:K6"/>
    <mergeCell ref="B11:F11"/>
    <mergeCell ref="I15:K15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3"/>
  <dimension ref="A2:K16"/>
  <sheetViews>
    <sheetView view="pageLayout" topLeftCell="A7" zoomScaleNormal="100" zoomScaleSheetLayoutView="100" workbookViewId="0">
      <selection activeCell="H9" sqref="H9:H10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71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493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72" t="str">
        <f>"Thermomixer C"</f>
        <v>Thermomixer C</v>
      </c>
      <c r="C9" s="71" t="str">
        <f>"5382GM120753"</f>
        <v>5382GM120753</v>
      </c>
      <c r="D9" s="31">
        <v>2017</v>
      </c>
      <c r="E9" s="73" t="str">
        <f>"2020-11-22"</f>
        <v>2020-11-22</v>
      </c>
      <c r="F9" s="31"/>
      <c r="G9" s="31"/>
      <c r="H9" s="31"/>
      <c r="I9" s="5"/>
      <c r="J9" s="5"/>
      <c r="K9" s="5"/>
    </row>
    <row r="10" spans="1:11" s="14" customFormat="1" x14ac:dyDescent="0.2">
      <c r="A10" s="36">
        <v>2</v>
      </c>
      <c r="B10" s="72" t="str">
        <f>"Thermomixer C"</f>
        <v>Thermomixer C</v>
      </c>
      <c r="C10" s="71" t="str">
        <f>"5382GM720761"</f>
        <v>5382GM720761</v>
      </c>
      <c r="D10" s="31">
        <v>2017</v>
      </c>
      <c r="E10" s="73" t="str">
        <f>"2020-11-22"</f>
        <v>2020-11-22</v>
      </c>
      <c r="F10" s="31"/>
      <c r="G10" s="31"/>
      <c r="H10" s="31"/>
      <c r="I10" s="5"/>
      <c r="J10" s="5"/>
      <c r="K10" s="5"/>
    </row>
    <row r="11" spans="1:11" ht="109.5" customHeight="1" x14ac:dyDescent="0.2">
      <c r="A11" s="33"/>
      <c r="B11" s="133" t="s">
        <v>665</v>
      </c>
      <c r="C11" s="133"/>
      <c r="D11" s="133"/>
      <c r="E11" s="133"/>
      <c r="F11" s="133"/>
      <c r="G11" s="37" t="s">
        <v>524</v>
      </c>
      <c r="H11" s="34"/>
      <c r="I11" s="5"/>
      <c r="J11" s="5"/>
      <c r="K11" s="5"/>
    </row>
    <row r="12" spans="1:11" ht="57.75" customHeight="1" x14ac:dyDescent="0.2">
      <c r="A12" s="33"/>
      <c r="B12" s="133" t="s">
        <v>620</v>
      </c>
      <c r="C12" s="133"/>
      <c r="D12" s="133"/>
      <c r="E12" s="133"/>
      <c r="F12" s="133"/>
      <c r="G12" s="31" t="s">
        <v>524</v>
      </c>
      <c r="H12" s="34"/>
      <c r="I12" s="5"/>
      <c r="J12" s="5"/>
      <c r="K12" s="5"/>
    </row>
    <row r="13" spans="1:11" ht="47.25" customHeight="1" x14ac:dyDescent="0.2">
      <c r="B13" s="135" t="s">
        <v>1</v>
      </c>
      <c r="C13" s="135"/>
      <c r="D13" s="135"/>
      <c r="E13" s="135"/>
      <c r="F13" s="135"/>
      <c r="G13" s="31" t="s">
        <v>524</v>
      </c>
      <c r="H13" s="5"/>
      <c r="I13" s="5"/>
      <c r="J13" s="5"/>
      <c r="K13" s="5"/>
    </row>
    <row r="14" spans="1:11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1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16:B16"/>
    <mergeCell ref="C16:K16"/>
    <mergeCell ref="B12:F12"/>
    <mergeCell ref="B13:F13"/>
    <mergeCell ref="A15:B15"/>
    <mergeCell ref="C15:E15"/>
    <mergeCell ref="F15:H15"/>
    <mergeCell ref="A4:B4"/>
    <mergeCell ref="C4:K4"/>
    <mergeCell ref="B6:K6"/>
    <mergeCell ref="B11:F11"/>
    <mergeCell ref="I15:K15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4"/>
  <dimension ref="A2:K16"/>
  <sheetViews>
    <sheetView view="pageLayout" topLeftCell="A10" zoomScaleNormal="100" zoomScaleSheetLayoutView="100" workbookViewId="0">
      <selection activeCell="H9" sqref="H9:H10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72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488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72" t="s">
        <v>489</v>
      </c>
      <c r="C9" s="75" t="s">
        <v>491</v>
      </c>
      <c r="D9" s="31">
        <v>2014</v>
      </c>
      <c r="E9" s="73">
        <v>43996</v>
      </c>
      <c r="F9" s="31"/>
      <c r="G9" s="31"/>
      <c r="H9" s="31"/>
      <c r="I9" s="5"/>
      <c r="J9" s="5"/>
      <c r="K9" s="5"/>
    </row>
    <row r="10" spans="1:11" s="14" customFormat="1" x14ac:dyDescent="0.2">
      <c r="A10" s="36">
        <v>2</v>
      </c>
      <c r="B10" s="72" t="s">
        <v>490</v>
      </c>
      <c r="C10" s="75" t="s">
        <v>492</v>
      </c>
      <c r="D10" s="31">
        <v>2014</v>
      </c>
      <c r="E10" s="73">
        <v>43996</v>
      </c>
      <c r="F10" s="31"/>
      <c r="G10" s="31"/>
      <c r="H10" s="31"/>
      <c r="I10" s="5"/>
      <c r="J10" s="5"/>
      <c r="K10" s="5"/>
    </row>
    <row r="11" spans="1:11" ht="108" customHeight="1" x14ac:dyDescent="0.2">
      <c r="A11" s="33"/>
      <c r="B11" s="133" t="s">
        <v>665</v>
      </c>
      <c r="C11" s="133"/>
      <c r="D11" s="133"/>
      <c r="E11" s="133"/>
      <c r="F11" s="133"/>
      <c r="G11" s="37" t="s">
        <v>524</v>
      </c>
      <c r="H11" s="34"/>
      <c r="I11" s="5"/>
      <c r="J11" s="5"/>
      <c r="K11" s="5"/>
    </row>
    <row r="12" spans="1:11" ht="57.75" customHeight="1" x14ac:dyDescent="0.2">
      <c r="A12" s="33"/>
      <c r="B12" s="133" t="s">
        <v>620</v>
      </c>
      <c r="C12" s="133"/>
      <c r="D12" s="133"/>
      <c r="E12" s="133"/>
      <c r="F12" s="133"/>
      <c r="G12" s="31" t="s">
        <v>524</v>
      </c>
      <c r="H12" s="34"/>
      <c r="I12" s="5"/>
      <c r="J12" s="5"/>
      <c r="K12" s="5"/>
    </row>
    <row r="13" spans="1:11" ht="47.25" customHeight="1" x14ac:dyDescent="0.2">
      <c r="B13" s="135" t="s">
        <v>313</v>
      </c>
      <c r="C13" s="135"/>
      <c r="D13" s="135"/>
      <c r="E13" s="135"/>
      <c r="F13" s="135"/>
      <c r="G13" s="31" t="s">
        <v>524</v>
      </c>
      <c r="H13" s="5"/>
      <c r="I13" s="5"/>
      <c r="J13" s="5"/>
      <c r="K13" s="5"/>
    </row>
    <row r="14" spans="1:11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1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16:B16"/>
    <mergeCell ref="C16:K16"/>
    <mergeCell ref="B12:F12"/>
    <mergeCell ref="B13:F13"/>
    <mergeCell ref="A15:B15"/>
    <mergeCell ref="C15:E15"/>
    <mergeCell ref="F15:H15"/>
    <mergeCell ref="A4:B4"/>
    <mergeCell ref="C4:K4"/>
    <mergeCell ref="B6:K6"/>
    <mergeCell ref="B11:F11"/>
    <mergeCell ref="I15:K15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5"/>
  <dimension ref="A2:K18"/>
  <sheetViews>
    <sheetView view="pageLayout" zoomScaleNormal="100" zoomScaleSheetLayoutView="100" workbookViewId="0">
      <selection activeCell="H9" sqref="H9:H12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73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495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72" t="s">
        <v>496</v>
      </c>
      <c r="C9" s="75" t="s">
        <v>497</v>
      </c>
      <c r="D9" s="31">
        <v>2017</v>
      </c>
      <c r="E9" s="73">
        <v>44064</v>
      </c>
      <c r="F9" s="31"/>
      <c r="G9" s="31"/>
      <c r="H9" s="31"/>
      <c r="I9" s="5"/>
      <c r="J9" s="5"/>
      <c r="K9" s="5"/>
    </row>
    <row r="10" spans="1:11" s="14" customFormat="1" x14ac:dyDescent="0.2">
      <c r="A10" s="36">
        <v>2</v>
      </c>
      <c r="B10" s="72" t="s">
        <v>496</v>
      </c>
      <c r="C10" s="75" t="s">
        <v>498</v>
      </c>
      <c r="D10" s="31">
        <v>2017</v>
      </c>
      <c r="E10" s="73">
        <v>44064</v>
      </c>
      <c r="F10" s="31"/>
      <c r="G10" s="31"/>
      <c r="H10" s="31"/>
      <c r="I10" s="5"/>
      <c r="J10" s="5"/>
      <c r="K10" s="5"/>
    </row>
    <row r="11" spans="1:11" s="14" customFormat="1" x14ac:dyDescent="0.2">
      <c r="A11" s="36">
        <v>3</v>
      </c>
      <c r="B11" s="72" t="s">
        <v>496</v>
      </c>
      <c r="C11" s="75" t="s">
        <v>499</v>
      </c>
      <c r="D11" s="31">
        <v>2017</v>
      </c>
      <c r="E11" s="73">
        <v>44064</v>
      </c>
      <c r="F11" s="31"/>
      <c r="G11" s="31"/>
      <c r="H11" s="31"/>
      <c r="I11" s="5"/>
      <c r="J11" s="5"/>
      <c r="K11" s="5"/>
    </row>
    <row r="12" spans="1:11" x14ac:dyDescent="0.2">
      <c r="A12" s="36">
        <v>4</v>
      </c>
      <c r="B12" s="72" t="s">
        <v>496</v>
      </c>
      <c r="C12" s="76" t="s">
        <v>500</v>
      </c>
      <c r="D12" s="31">
        <v>2017</v>
      </c>
      <c r="E12" s="73">
        <v>44064</v>
      </c>
      <c r="F12" s="31"/>
      <c r="G12" s="31"/>
      <c r="H12" s="31"/>
      <c r="I12" s="5"/>
      <c r="J12" s="5"/>
      <c r="K12" s="5"/>
    </row>
    <row r="13" spans="1:11" ht="108.75" customHeight="1" x14ac:dyDescent="0.2">
      <c r="A13" s="33"/>
      <c r="B13" s="133" t="s">
        <v>665</v>
      </c>
      <c r="C13" s="133"/>
      <c r="D13" s="133"/>
      <c r="E13" s="133"/>
      <c r="F13" s="133"/>
      <c r="G13" s="37" t="s">
        <v>524</v>
      </c>
      <c r="H13" s="34"/>
      <c r="I13" s="5"/>
      <c r="J13" s="5"/>
      <c r="K13" s="5"/>
    </row>
    <row r="14" spans="1:11" ht="57.75" customHeight="1" x14ac:dyDescent="0.2">
      <c r="A14" s="33"/>
      <c r="B14" s="133" t="s">
        <v>620</v>
      </c>
      <c r="C14" s="133"/>
      <c r="D14" s="133"/>
      <c r="E14" s="133"/>
      <c r="F14" s="133"/>
      <c r="G14" s="31" t="s">
        <v>524</v>
      </c>
      <c r="H14" s="34"/>
      <c r="I14" s="5"/>
      <c r="J14" s="5"/>
      <c r="K14" s="5"/>
    </row>
    <row r="15" spans="1:11" ht="47.25" customHeight="1" x14ac:dyDescent="0.2">
      <c r="B15" s="135" t="s">
        <v>501</v>
      </c>
      <c r="C15" s="135"/>
      <c r="D15" s="135"/>
      <c r="E15" s="135"/>
      <c r="F15" s="135"/>
      <c r="G15" s="31" t="s">
        <v>524</v>
      </c>
      <c r="H15" s="5"/>
      <c r="I15" s="5"/>
      <c r="J15" s="5"/>
      <c r="K15" s="5"/>
    </row>
    <row r="16" spans="1:11" x14ac:dyDescent="0.2">
      <c r="B16" s="3"/>
      <c r="C16" s="32"/>
      <c r="D16" s="5"/>
      <c r="E16" s="5"/>
      <c r="F16" s="5"/>
      <c r="G16" s="5"/>
      <c r="H16" s="5"/>
      <c r="I16" s="5"/>
      <c r="J16" s="5"/>
      <c r="K16" s="5"/>
    </row>
    <row r="17" spans="1:11" x14ac:dyDescent="0.2">
      <c r="A17" s="119" t="s">
        <v>356</v>
      </c>
      <c r="B17" s="124"/>
      <c r="C17" s="125">
        <f>SUM(H9:H12)</f>
        <v>0</v>
      </c>
      <c r="D17" s="126"/>
      <c r="E17" s="127"/>
      <c r="F17" s="128" t="s">
        <v>334</v>
      </c>
      <c r="G17" s="129"/>
      <c r="H17" s="120"/>
      <c r="I17" s="130"/>
      <c r="J17" s="131"/>
      <c r="K17" s="132"/>
    </row>
    <row r="18" spans="1:11" x14ac:dyDescent="0.2">
      <c r="A18" s="119" t="s">
        <v>335</v>
      </c>
      <c r="B18" s="120"/>
      <c r="C18" s="121"/>
      <c r="D18" s="122"/>
      <c r="E18" s="122"/>
      <c r="F18" s="122"/>
      <c r="G18" s="122"/>
      <c r="H18" s="122"/>
      <c r="I18" s="122"/>
      <c r="J18" s="122"/>
      <c r="K18" s="123"/>
    </row>
  </sheetData>
  <mergeCells count="12">
    <mergeCell ref="A18:B18"/>
    <mergeCell ref="C18:K18"/>
    <mergeCell ref="B14:F14"/>
    <mergeCell ref="B15:F15"/>
    <mergeCell ref="A17:B17"/>
    <mergeCell ref="C17:E17"/>
    <mergeCell ref="F17:H17"/>
    <mergeCell ref="A4:B4"/>
    <mergeCell ref="C4:K4"/>
    <mergeCell ref="B6:K6"/>
    <mergeCell ref="B13:F13"/>
    <mergeCell ref="I17:K17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6"/>
  <dimension ref="A2:K15"/>
  <sheetViews>
    <sheetView view="pageLayout" topLeftCell="A10" zoomScaleNormal="100" zoomScaleSheetLayoutView="100" workbookViewId="0">
      <selection activeCell="H9" sqref="H9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74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502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72" t="s">
        <v>503</v>
      </c>
      <c r="C9" s="71">
        <v>278880545</v>
      </c>
      <c r="D9" s="31">
        <v>2011</v>
      </c>
      <c r="E9" s="73">
        <v>44012</v>
      </c>
      <c r="F9" s="31"/>
      <c r="G9" s="31"/>
      <c r="H9" s="31"/>
      <c r="I9" s="5"/>
      <c r="J9" s="5"/>
      <c r="K9" s="5"/>
    </row>
    <row r="10" spans="1:11" ht="107.25" customHeight="1" x14ac:dyDescent="0.2">
      <c r="A10" s="33"/>
      <c r="B10" s="133" t="s">
        <v>565</v>
      </c>
      <c r="C10" s="133"/>
      <c r="D10" s="133"/>
      <c r="E10" s="133"/>
      <c r="F10" s="133"/>
      <c r="G10" s="37" t="s">
        <v>524</v>
      </c>
      <c r="H10" s="34"/>
      <c r="I10" s="5"/>
      <c r="J10" s="5"/>
      <c r="K10" s="5"/>
    </row>
    <row r="11" spans="1:11" ht="57.75" customHeight="1" x14ac:dyDescent="0.2">
      <c r="A11" s="33"/>
      <c r="B11" s="133" t="s">
        <v>620</v>
      </c>
      <c r="C11" s="133"/>
      <c r="D11" s="133"/>
      <c r="E11" s="133"/>
      <c r="F11" s="133"/>
      <c r="G11" s="31" t="s">
        <v>524</v>
      </c>
      <c r="H11" s="34"/>
      <c r="I11" s="5"/>
      <c r="J11" s="5"/>
      <c r="K11" s="5"/>
    </row>
    <row r="12" spans="1:11" ht="47.25" customHeight="1" x14ac:dyDescent="0.2">
      <c r="B12" s="135" t="s">
        <v>582</v>
      </c>
      <c r="C12" s="135"/>
      <c r="D12" s="135"/>
      <c r="E12" s="135"/>
      <c r="F12" s="135"/>
      <c r="G12" s="31" t="s">
        <v>524</v>
      </c>
      <c r="H12" s="5"/>
      <c r="I12" s="5"/>
      <c r="J12" s="5"/>
      <c r="K12" s="5"/>
    </row>
    <row r="13" spans="1:11" x14ac:dyDescent="0.2">
      <c r="B13" s="3"/>
      <c r="C13" s="32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119" t="s">
        <v>356</v>
      </c>
      <c r="B14" s="124"/>
      <c r="C14" s="125">
        <f>SUM(H9:H9)</f>
        <v>0</v>
      </c>
      <c r="D14" s="126"/>
      <c r="E14" s="127"/>
      <c r="F14" s="128" t="s">
        <v>334</v>
      </c>
      <c r="G14" s="129"/>
      <c r="H14" s="120"/>
      <c r="I14" s="130"/>
      <c r="J14" s="131"/>
      <c r="K14" s="132"/>
    </row>
    <row r="15" spans="1:11" x14ac:dyDescent="0.2">
      <c r="A15" s="119" t="s">
        <v>335</v>
      </c>
      <c r="B15" s="120"/>
      <c r="C15" s="121"/>
      <c r="D15" s="122"/>
      <c r="E15" s="122"/>
      <c r="F15" s="122"/>
      <c r="G15" s="122"/>
      <c r="H15" s="122"/>
      <c r="I15" s="122"/>
      <c r="J15" s="122"/>
      <c r="K15" s="123"/>
    </row>
  </sheetData>
  <mergeCells count="12">
    <mergeCell ref="A15:B15"/>
    <mergeCell ref="C15:K15"/>
    <mergeCell ref="B11:F11"/>
    <mergeCell ref="B12:F12"/>
    <mergeCell ref="A14:B14"/>
    <mergeCell ref="C14:E14"/>
    <mergeCell ref="F14:H14"/>
    <mergeCell ref="A4:B4"/>
    <mergeCell ref="C4:K4"/>
    <mergeCell ref="B6:K6"/>
    <mergeCell ref="B10:F10"/>
    <mergeCell ref="I14:K14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7"/>
  <dimension ref="A2:K17"/>
  <sheetViews>
    <sheetView view="pageLayout" topLeftCell="A10" zoomScaleNormal="100" zoomScaleSheetLayoutView="100" workbookViewId="0">
      <selection activeCell="H9" sqref="H9:H11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75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584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72" t="str">
        <f>"UV3 HEPA"</f>
        <v>UV3 HEPA</v>
      </c>
      <c r="C9" s="71" t="str">
        <f>"P080211-002"</f>
        <v>P080211-002</v>
      </c>
      <c r="D9" s="31">
        <v>2011</v>
      </c>
      <c r="E9" s="73" t="str">
        <f>"2020-11-25"</f>
        <v>2020-11-25</v>
      </c>
      <c r="F9" s="31"/>
      <c r="G9" s="31"/>
      <c r="H9" s="31"/>
      <c r="I9" s="5"/>
      <c r="J9" s="5"/>
      <c r="K9" s="5"/>
    </row>
    <row r="10" spans="1:11" s="14" customFormat="1" x14ac:dyDescent="0.2">
      <c r="A10" s="36">
        <v>2</v>
      </c>
      <c r="B10" s="72" t="str">
        <f>"BioBan"</f>
        <v>BioBan</v>
      </c>
      <c r="C10" s="71" t="str">
        <f>"63170"</f>
        <v>63170</v>
      </c>
      <c r="D10" s="31">
        <v>2011</v>
      </c>
      <c r="E10" s="73" t="str">
        <f>"2020-11-14"</f>
        <v>2020-11-14</v>
      </c>
      <c r="F10" s="31"/>
      <c r="G10" s="31"/>
      <c r="H10" s="31"/>
      <c r="I10" s="5"/>
      <c r="J10" s="5"/>
      <c r="K10" s="5"/>
    </row>
    <row r="11" spans="1:11" x14ac:dyDescent="0.2">
      <c r="A11" s="30">
        <v>3</v>
      </c>
      <c r="B11" s="69" t="str">
        <f>"BioBan"</f>
        <v>BioBan</v>
      </c>
      <c r="C11" s="84" t="str">
        <f>"63171"</f>
        <v>63171</v>
      </c>
      <c r="D11" s="74">
        <v>2011</v>
      </c>
      <c r="E11" s="85" t="str">
        <f>"2020-11-14"</f>
        <v>2020-11-14</v>
      </c>
      <c r="F11" s="31"/>
      <c r="G11" s="31"/>
      <c r="H11" s="31"/>
      <c r="I11" s="5"/>
      <c r="J11" s="5"/>
      <c r="K11" s="5"/>
    </row>
    <row r="12" spans="1:11" ht="106.5" customHeight="1" x14ac:dyDescent="0.2">
      <c r="A12" s="33"/>
      <c r="B12" s="133" t="s">
        <v>665</v>
      </c>
      <c r="C12" s="133"/>
      <c r="D12" s="133"/>
      <c r="E12" s="133"/>
      <c r="F12" s="133"/>
      <c r="G12" s="37" t="s">
        <v>524</v>
      </c>
      <c r="H12" s="34"/>
      <c r="I12" s="5"/>
      <c r="J12" s="5"/>
      <c r="K12" s="5"/>
    </row>
    <row r="13" spans="1:11" ht="57.75" customHeight="1" x14ac:dyDescent="0.2">
      <c r="A13" s="33"/>
      <c r="B13" s="110" t="s">
        <v>594</v>
      </c>
      <c r="C13" s="110"/>
      <c r="D13" s="110"/>
      <c r="E13" s="110"/>
      <c r="F13" s="110"/>
      <c r="G13" s="31" t="s">
        <v>524</v>
      </c>
      <c r="H13" s="34"/>
      <c r="I13" s="5"/>
      <c r="J13" s="5"/>
      <c r="K13" s="5"/>
    </row>
    <row r="14" spans="1:11" ht="47.25" customHeight="1" x14ac:dyDescent="0.2">
      <c r="B14" s="135" t="s">
        <v>581</v>
      </c>
      <c r="C14" s="135"/>
      <c r="D14" s="135"/>
      <c r="E14" s="135"/>
      <c r="F14" s="135"/>
      <c r="G14" s="31" t="s">
        <v>524</v>
      </c>
      <c r="H14" s="5"/>
      <c r="I14" s="5"/>
      <c r="J14" s="5"/>
      <c r="K14" s="5"/>
    </row>
    <row r="15" spans="1:11" x14ac:dyDescent="0.2">
      <c r="B15" s="3"/>
      <c r="C15" s="32"/>
      <c r="D15" s="5"/>
      <c r="E15" s="5"/>
      <c r="F15" s="5"/>
      <c r="G15" s="5"/>
      <c r="H15" s="5"/>
      <c r="I15" s="5"/>
      <c r="J15" s="5"/>
      <c r="K15" s="5"/>
    </row>
    <row r="16" spans="1:11" x14ac:dyDescent="0.2">
      <c r="A16" s="119" t="s">
        <v>356</v>
      </c>
      <c r="B16" s="124"/>
      <c r="C16" s="125">
        <f>SUM(H9:H11)</f>
        <v>0</v>
      </c>
      <c r="D16" s="126"/>
      <c r="E16" s="127"/>
      <c r="F16" s="128" t="s">
        <v>334</v>
      </c>
      <c r="G16" s="129"/>
      <c r="H16" s="120"/>
      <c r="I16" s="130"/>
      <c r="J16" s="131"/>
      <c r="K16" s="132"/>
    </row>
    <row r="17" spans="1:11" x14ac:dyDescent="0.2">
      <c r="A17" s="119" t="s">
        <v>335</v>
      </c>
      <c r="B17" s="120"/>
      <c r="C17" s="121"/>
      <c r="D17" s="122"/>
      <c r="E17" s="122"/>
      <c r="F17" s="122"/>
      <c r="G17" s="122"/>
      <c r="H17" s="122"/>
      <c r="I17" s="122"/>
      <c r="J17" s="122"/>
      <c r="K17" s="123"/>
    </row>
  </sheetData>
  <mergeCells count="12">
    <mergeCell ref="A17:B17"/>
    <mergeCell ref="C17:K17"/>
    <mergeCell ref="B13:F13"/>
    <mergeCell ref="B14:F14"/>
    <mergeCell ref="A16:B16"/>
    <mergeCell ref="C16:E16"/>
    <mergeCell ref="F16:H16"/>
    <mergeCell ref="A4:B4"/>
    <mergeCell ref="C4:K4"/>
    <mergeCell ref="B6:K6"/>
    <mergeCell ref="B12:F12"/>
    <mergeCell ref="I16:K16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78"/>
  <dimension ref="A2:K16"/>
  <sheetViews>
    <sheetView view="pageLayout" topLeftCell="A7" zoomScaleNormal="100" zoomScaleSheetLayoutView="100" workbookViewId="0">
      <selection activeCell="H9" sqref="H9:H10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6" t="s">
        <v>128</v>
      </c>
      <c r="C2" s="24">
        <v>76</v>
      </c>
      <c r="D2" s="10"/>
      <c r="E2" s="10"/>
      <c r="F2" s="10"/>
      <c r="G2" s="10"/>
      <c r="H2" s="10"/>
      <c r="I2" s="10"/>
      <c r="J2" s="10"/>
      <c r="K2" s="10"/>
    </row>
    <row r="3" spans="1:11" x14ac:dyDescent="0.2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112" t="s">
        <v>326</v>
      </c>
      <c r="B4" s="113"/>
      <c r="C4" s="116" t="s">
        <v>655</v>
      </c>
      <c r="D4" s="117"/>
      <c r="E4" s="117"/>
      <c r="F4" s="117"/>
      <c r="G4" s="117"/>
      <c r="H4" s="117"/>
      <c r="I4" s="117"/>
      <c r="J4" s="117"/>
      <c r="K4" s="118"/>
    </row>
    <row r="5" spans="1:11" x14ac:dyDescent="0.2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">
      <c r="A6" s="6"/>
      <c r="B6" s="114" t="s">
        <v>333</v>
      </c>
      <c r="C6" s="134"/>
      <c r="D6" s="134"/>
      <c r="E6" s="134"/>
      <c r="F6" s="134"/>
      <c r="G6" s="134"/>
      <c r="H6" s="134"/>
      <c r="I6" s="134"/>
      <c r="J6" s="134"/>
      <c r="K6" s="134"/>
    </row>
    <row r="7" spans="1:11" x14ac:dyDescent="0.2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8.25" x14ac:dyDescent="0.2">
      <c r="A8" s="30" t="s">
        <v>340</v>
      </c>
      <c r="B8" s="30" t="s">
        <v>341</v>
      </c>
      <c r="C8" s="31" t="s">
        <v>342</v>
      </c>
      <c r="D8" s="31" t="s">
        <v>343</v>
      </c>
      <c r="E8" s="31" t="s">
        <v>344</v>
      </c>
      <c r="F8" s="31" t="s">
        <v>345</v>
      </c>
      <c r="G8" s="31" t="s">
        <v>346</v>
      </c>
      <c r="H8" s="31" t="s">
        <v>347</v>
      </c>
      <c r="I8" s="5"/>
      <c r="J8" s="5"/>
      <c r="K8" s="5"/>
    </row>
    <row r="9" spans="1:11" s="14" customFormat="1" x14ac:dyDescent="0.2">
      <c r="A9" s="36">
        <v>1</v>
      </c>
      <c r="B9" s="86" t="s">
        <v>289</v>
      </c>
      <c r="C9" s="87" t="s">
        <v>290</v>
      </c>
      <c r="D9" s="87">
        <v>2016</v>
      </c>
      <c r="E9" s="73" t="str">
        <f>"2020-11-11"</f>
        <v>2020-11-11</v>
      </c>
      <c r="F9" s="31"/>
      <c r="G9" s="31"/>
      <c r="H9" s="31"/>
      <c r="I9" s="5"/>
      <c r="J9" s="5"/>
      <c r="K9" s="5"/>
    </row>
    <row r="10" spans="1:11" s="14" customFormat="1" x14ac:dyDescent="0.2">
      <c r="A10" s="36">
        <v>2</v>
      </c>
      <c r="B10" s="86" t="s">
        <v>291</v>
      </c>
      <c r="C10" s="87" t="s">
        <v>292</v>
      </c>
      <c r="D10" s="87">
        <v>2016</v>
      </c>
      <c r="E10" s="73" t="str">
        <f>"2020-11-11"</f>
        <v>2020-11-11</v>
      </c>
      <c r="F10" s="31"/>
      <c r="G10" s="31"/>
      <c r="H10" s="31"/>
      <c r="I10" s="5"/>
      <c r="J10" s="5"/>
      <c r="K10" s="5"/>
    </row>
    <row r="11" spans="1:11" ht="125.25" customHeight="1" x14ac:dyDescent="0.2">
      <c r="A11" s="33"/>
      <c r="B11" s="149" t="s">
        <v>293</v>
      </c>
      <c r="C11" s="149"/>
      <c r="D11" s="149"/>
      <c r="E11" s="149"/>
      <c r="F11" s="149"/>
      <c r="G11" s="37" t="s">
        <v>524</v>
      </c>
      <c r="H11" s="34"/>
      <c r="I11" s="5"/>
      <c r="J11" s="5"/>
      <c r="K11" s="5"/>
    </row>
    <row r="12" spans="1:11" ht="56.25" customHeight="1" x14ac:dyDescent="0.2">
      <c r="A12" s="33"/>
      <c r="B12" s="110" t="s">
        <v>594</v>
      </c>
      <c r="C12" s="110"/>
      <c r="D12" s="110"/>
      <c r="E12" s="110"/>
      <c r="F12" s="110"/>
      <c r="G12" s="31" t="s">
        <v>524</v>
      </c>
      <c r="H12" s="34"/>
      <c r="I12" s="5"/>
      <c r="J12" s="5"/>
      <c r="K12" s="5"/>
    </row>
    <row r="13" spans="1:11" ht="47.25" customHeight="1" x14ac:dyDescent="0.2">
      <c r="B13" s="135" t="s">
        <v>656</v>
      </c>
      <c r="C13" s="135"/>
      <c r="D13" s="135"/>
      <c r="E13" s="135"/>
      <c r="F13" s="135"/>
      <c r="G13" s="31" t="s">
        <v>524</v>
      </c>
      <c r="H13" s="5"/>
      <c r="I13" s="5"/>
      <c r="J13" s="5"/>
      <c r="K13" s="5"/>
    </row>
    <row r="14" spans="1:11" x14ac:dyDescent="0.2">
      <c r="B14" s="3"/>
      <c r="C14" s="32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119" t="s">
        <v>356</v>
      </c>
      <c r="B15" s="124"/>
      <c r="C15" s="125">
        <f>SUM(H9:H10)</f>
        <v>0</v>
      </c>
      <c r="D15" s="126"/>
      <c r="E15" s="127"/>
      <c r="F15" s="128" t="s">
        <v>334</v>
      </c>
      <c r="G15" s="129"/>
      <c r="H15" s="120"/>
      <c r="I15" s="130"/>
      <c r="J15" s="131"/>
      <c r="K15" s="132"/>
    </row>
    <row r="16" spans="1:11" x14ac:dyDescent="0.2">
      <c r="A16" s="119" t="s">
        <v>335</v>
      </c>
      <c r="B16" s="120"/>
      <c r="C16" s="121"/>
      <c r="D16" s="122"/>
      <c r="E16" s="122"/>
      <c r="F16" s="122"/>
      <c r="G16" s="122"/>
      <c r="H16" s="122"/>
      <c r="I16" s="122"/>
      <c r="J16" s="122"/>
      <c r="K16" s="123"/>
    </row>
  </sheetData>
  <mergeCells count="12">
    <mergeCell ref="A16:B16"/>
    <mergeCell ref="C16:K16"/>
    <mergeCell ref="B12:F12"/>
    <mergeCell ref="B13:F13"/>
    <mergeCell ref="A15:B15"/>
    <mergeCell ref="C15:E15"/>
    <mergeCell ref="F15:H15"/>
    <mergeCell ref="A4:B4"/>
    <mergeCell ref="C4:K4"/>
    <mergeCell ref="B6:K6"/>
    <mergeCell ref="B11:F11"/>
    <mergeCell ref="I15:K15"/>
  </mergeCells>
  <phoneticPr fontId="10" type="noConversion"/>
  <pageMargins left="0.75" right="0.75" top="1" bottom="1" header="0.5" footer="0.5"/>
  <pageSetup paperSize="9" scale="57" orientation="portrait" r:id="rId1"/>
  <headerFooter alignWithMargins="0"/>
  <legacy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7"/>
  <dimension ref="A1"/>
  <sheetViews>
    <sheetView workbookViewId="0"/>
  </sheetViews>
  <sheetFormatPr defaultRowHeight="12.75" x14ac:dyDescent="0.2"/>
  <sheetData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78</vt:i4>
      </vt:variant>
      <vt:variant>
        <vt:lpstr>Zakresy nazwane</vt:lpstr>
      </vt:variant>
      <vt:variant>
        <vt:i4>36</vt:i4>
      </vt:variant>
    </vt:vector>
  </HeadingPairs>
  <TitlesOfParts>
    <vt:vector size="114" baseType="lpstr">
      <vt:lpstr>Formularz Oferty</vt:lpstr>
      <vt:lpstr>Zadanie nr 1</vt:lpstr>
      <vt:lpstr>Zadanie nr 2</vt:lpstr>
      <vt:lpstr>Zadanie nr 3</vt:lpstr>
      <vt:lpstr>Zadanie nr 4</vt:lpstr>
      <vt:lpstr>Zadanie nr 5</vt:lpstr>
      <vt:lpstr>Zadanie nr 6</vt:lpstr>
      <vt:lpstr>Zadanie nr 7</vt:lpstr>
      <vt:lpstr>Zadanie nr 8</vt:lpstr>
      <vt:lpstr>Zadanie nr 9</vt:lpstr>
      <vt:lpstr>Zadanie nr 10</vt:lpstr>
      <vt:lpstr>Zadanie nr 11</vt:lpstr>
      <vt:lpstr>Zadanie nr 12</vt:lpstr>
      <vt:lpstr>Zadanie nr 13</vt:lpstr>
      <vt:lpstr>Zadanie nr 14</vt:lpstr>
      <vt:lpstr>Zadanie nr 15</vt:lpstr>
      <vt:lpstr>Zadanie nr 16</vt:lpstr>
      <vt:lpstr>Zadanie nr 17</vt:lpstr>
      <vt:lpstr>Zadanie nr 18</vt:lpstr>
      <vt:lpstr>Zadanie nr 19</vt:lpstr>
      <vt:lpstr>Zadanie nr 20</vt:lpstr>
      <vt:lpstr>Zadanie nr 21</vt:lpstr>
      <vt:lpstr>Zadanie nr 22</vt:lpstr>
      <vt:lpstr>Zadanie nr 23</vt:lpstr>
      <vt:lpstr>Zadanie nr 24</vt:lpstr>
      <vt:lpstr>Zadanie nr 25</vt:lpstr>
      <vt:lpstr>Zadanie nr 26</vt:lpstr>
      <vt:lpstr>Zadanie nr 27</vt:lpstr>
      <vt:lpstr>Zadanie nr 28</vt:lpstr>
      <vt:lpstr>Zadanie nr 29</vt:lpstr>
      <vt:lpstr>Zadanie nr 30</vt:lpstr>
      <vt:lpstr>Zadanie nr 31</vt:lpstr>
      <vt:lpstr>Zadanie nr 32</vt:lpstr>
      <vt:lpstr>Zadanie nr 33</vt:lpstr>
      <vt:lpstr>Zadanie nr 34</vt:lpstr>
      <vt:lpstr>Zadanie nr 35</vt:lpstr>
      <vt:lpstr>Zadanie nr 36</vt:lpstr>
      <vt:lpstr>Zadanie nr 37</vt:lpstr>
      <vt:lpstr>Zadanie nr 38</vt:lpstr>
      <vt:lpstr>Zadanie nr 39</vt:lpstr>
      <vt:lpstr>Zadanie nr 40</vt:lpstr>
      <vt:lpstr>Zadanie nr 41</vt:lpstr>
      <vt:lpstr>Zadanie nr 42</vt:lpstr>
      <vt:lpstr>Zadanie nr 43</vt:lpstr>
      <vt:lpstr>Zadanie nr 44</vt:lpstr>
      <vt:lpstr>Zadanie nr 45</vt:lpstr>
      <vt:lpstr>Zadanie nr 46</vt:lpstr>
      <vt:lpstr>Zadanie nr 47</vt:lpstr>
      <vt:lpstr>Zadanie nr 48</vt:lpstr>
      <vt:lpstr>Zadanie nr 49</vt:lpstr>
      <vt:lpstr>Zadanie nr 50</vt:lpstr>
      <vt:lpstr>Zadanie nr 51</vt:lpstr>
      <vt:lpstr>Zadanie nr 52</vt:lpstr>
      <vt:lpstr>Zadanie nr 53</vt:lpstr>
      <vt:lpstr>Zadanie nr 54</vt:lpstr>
      <vt:lpstr>Zadanie nr 55</vt:lpstr>
      <vt:lpstr>Zadanie nr 56</vt:lpstr>
      <vt:lpstr>Zadanie nr 57</vt:lpstr>
      <vt:lpstr>Zadanie nr 58</vt:lpstr>
      <vt:lpstr>Zadanie nr 59</vt:lpstr>
      <vt:lpstr>Zadanie nr 60</vt:lpstr>
      <vt:lpstr>Zadanie nr 61</vt:lpstr>
      <vt:lpstr>Zadanie nr 62</vt:lpstr>
      <vt:lpstr>Zadanie nr 63</vt:lpstr>
      <vt:lpstr>Zadanie nr 64</vt:lpstr>
      <vt:lpstr>Zadanie nr 65</vt:lpstr>
      <vt:lpstr>Zadanie nr 66</vt:lpstr>
      <vt:lpstr>Zadanie nr 67</vt:lpstr>
      <vt:lpstr>Zadanie nr 68</vt:lpstr>
      <vt:lpstr>Zadanie nr 69</vt:lpstr>
      <vt:lpstr>Zadanie nr 70</vt:lpstr>
      <vt:lpstr>Zadanie nr 71</vt:lpstr>
      <vt:lpstr>Zadanie nr 72</vt:lpstr>
      <vt:lpstr>Zadanie nr 73</vt:lpstr>
      <vt:lpstr>Zadanie nr 74</vt:lpstr>
      <vt:lpstr>Zadanie nr 75</vt:lpstr>
      <vt:lpstr>Zadanie nr 76</vt:lpstr>
      <vt:lpstr>Arkusz1</vt:lpstr>
      <vt:lpstr>'Formularz Oferty'!Print_Area</vt:lpstr>
      <vt:lpstr>'Zadanie nr 1'!Print_Area</vt:lpstr>
      <vt:lpstr>'Zadanie nr 10'!Print_Area</vt:lpstr>
      <vt:lpstr>'Zadanie nr 11'!Print_Area</vt:lpstr>
      <vt:lpstr>'Zadanie nr 12'!Print_Area</vt:lpstr>
      <vt:lpstr>'Zadanie nr 13'!Print_Area</vt:lpstr>
      <vt:lpstr>'Zadanie nr 14'!Print_Area</vt:lpstr>
      <vt:lpstr>'Zadanie nr 15'!Print_Area</vt:lpstr>
      <vt:lpstr>'Zadanie nr 16'!Print_Area</vt:lpstr>
      <vt:lpstr>'Zadanie nr 17'!Print_Area</vt:lpstr>
      <vt:lpstr>'Zadanie nr 18'!Print_Area</vt:lpstr>
      <vt:lpstr>'Zadanie nr 19'!Print_Area</vt:lpstr>
      <vt:lpstr>'Zadanie nr 2'!Print_Area</vt:lpstr>
      <vt:lpstr>'Zadanie nr 20'!Print_Area</vt:lpstr>
      <vt:lpstr>'Zadanie nr 21'!Print_Area</vt:lpstr>
      <vt:lpstr>'Zadanie nr 22'!Print_Area</vt:lpstr>
      <vt:lpstr>'Zadanie nr 23'!Print_Area</vt:lpstr>
      <vt:lpstr>'Zadanie nr 24'!Print_Area</vt:lpstr>
      <vt:lpstr>'Zadanie nr 25'!Print_Area</vt:lpstr>
      <vt:lpstr>'Zadanie nr 26'!Print_Area</vt:lpstr>
      <vt:lpstr>'Zadanie nr 27'!Print_Area</vt:lpstr>
      <vt:lpstr>'Zadanie nr 28'!Print_Area</vt:lpstr>
      <vt:lpstr>'Zadanie nr 29'!Print_Area</vt:lpstr>
      <vt:lpstr>'Zadanie nr 3'!Print_Area</vt:lpstr>
      <vt:lpstr>'Zadanie nr 30'!Print_Area</vt:lpstr>
      <vt:lpstr>'Zadanie nr 31'!Print_Area</vt:lpstr>
      <vt:lpstr>'Zadanie nr 32'!Print_Area</vt:lpstr>
      <vt:lpstr>'Zadanie nr 33'!Print_Area</vt:lpstr>
      <vt:lpstr>'Zadanie nr 34'!Print_Area</vt:lpstr>
      <vt:lpstr>'Zadanie nr 38'!Print_Area</vt:lpstr>
      <vt:lpstr>'Zadanie nr 4'!Print_Area</vt:lpstr>
      <vt:lpstr>'Zadanie nr 5'!Print_Area</vt:lpstr>
      <vt:lpstr>'Zadanie nr 6'!Print_Area</vt:lpstr>
      <vt:lpstr>'Zadanie nr 7'!Print_Area</vt:lpstr>
      <vt:lpstr>'Zadanie nr 8'!Print_Area</vt:lpstr>
      <vt:lpstr>'Zadanie nr 9'!Print_Area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Bogdan Packa</cp:lastModifiedBy>
  <cp:lastPrinted>2020-02-07T07:42:19Z</cp:lastPrinted>
  <dcterms:created xsi:type="dcterms:W3CDTF">2003-05-16T10:10:29Z</dcterms:created>
  <dcterms:modified xsi:type="dcterms:W3CDTF">2020-04-27T17:58:34Z</dcterms:modified>
</cp:coreProperties>
</file>